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толий\Desktop\Адвокатское досье\Дела в производстве\Скворцов С.Н. - регистрация УК ДОМПЛЮС\Формы для раскрытия информации 2020\ДОМПЛЮС 2020\"/>
    </mc:Choice>
  </mc:AlternateContent>
  <xr:revisionPtr revIDLastSave="0" documentId="8_{4CE467A4-8C9B-4AC8-9EEE-E9BBC39FD3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2" r:id="rId1"/>
    <sheet name="Лист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2" l="1"/>
  <c r="I80" i="2" s="1"/>
  <c r="J76" i="2"/>
  <c r="J80" i="2" s="1"/>
  <c r="K76" i="2"/>
  <c r="K80" i="2" s="1"/>
  <c r="L76" i="2"/>
  <c r="L80" i="2" s="1"/>
  <c r="M76" i="2"/>
  <c r="M80" i="2" s="1"/>
  <c r="N76" i="2"/>
  <c r="N80" i="2" s="1"/>
  <c r="O76" i="2"/>
  <c r="O80" i="2" s="1"/>
  <c r="P76" i="2"/>
  <c r="P80" i="2" s="1"/>
  <c r="Q76" i="2"/>
  <c r="Q80" i="2" s="1"/>
  <c r="R76" i="2"/>
  <c r="R80" i="2" s="1"/>
  <c r="S76" i="2"/>
  <c r="S80" i="2" s="1"/>
  <c r="T76" i="2"/>
  <c r="T80" i="2" s="1"/>
  <c r="U76" i="2"/>
  <c r="U80" i="2" s="1"/>
  <c r="H76" i="2"/>
  <c r="H80" i="2" s="1"/>
  <c r="I94" i="2"/>
  <c r="I98" i="2" s="1"/>
  <c r="J94" i="2"/>
  <c r="J98" i="2" s="1"/>
  <c r="K94" i="2"/>
  <c r="K98" i="2" s="1"/>
  <c r="L94" i="2"/>
  <c r="L98" i="2" s="1"/>
  <c r="M94" i="2"/>
  <c r="M98" i="2" s="1"/>
  <c r="N94" i="2"/>
  <c r="N98" i="2" s="1"/>
  <c r="O94" i="2"/>
  <c r="O98" i="2" s="1"/>
  <c r="P94" i="2"/>
  <c r="P98" i="2" s="1"/>
  <c r="Q94" i="2"/>
  <c r="Q98" i="2" s="1"/>
  <c r="R94" i="2"/>
  <c r="R98" i="2" s="1"/>
  <c r="S94" i="2"/>
  <c r="S98" i="2" s="1"/>
  <c r="T94" i="2"/>
  <c r="T98" i="2" s="1"/>
  <c r="U94" i="2"/>
  <c r="U98" i="2" s="1"/>
  <c r="H94" i="2"/>
  <c r="H98" i="2" s="1"/>
  <c r="U50" i="2"/>
  <c r="I46" i="2"/>
  <c r="I50" i="2" s="1"/>
  <c r="J46" i="2"/>
  <c r="J50" i="2" s="1"/>
  <c r="K46" i="2"/>
  <c r="K50" i="2" s="1"/>
  <c r="L46" i="2"/>
  <c r="L50" i="2" s="1"/>
  <c r="M46" i="2"/>
  <c r="M50" i="2" s="1"/>
  <c r="N46" i="2"/>
  <c r="N50" i="2" s="1"/>
  <c r="O46" i="2"/>
  <c r="O50" i="2" s="1"/>
  <c r="P46" i="2"/>
  <c r="P50" i="2" s="1"/>
  <c r="Q46" i="2"/>
  <c r="Q50" i="2" s="1"/>
  <c r="R46" i="2"/>
  <c r="R50" i="2" s="1"/>
  <c r="S46" i="2"/>
  <c r="S50" i="2" s="1"/>
  <c r="T46" i="2"/>
  <c r="T50" i="2" s="1"/>
  <c r="U46" i="2"/>
  <c r="H46" i="2"/>
  <c r="H50" i="2" s="1"/>
  <c r="J44" i="2"/>
  <c r="R44" i="2"/>
  <c r="I40" i="2"/>
  <c r="I44" i="2" s="1"/>
  <c r="J40" i="2"/>
  <c r="K40" i="2"/>
  <c r="K44" i="2" s="1"/>
  <c r="L40" i="2"/>
  <c r="L44" i="2" s="1"/>
  <c r="M40" i="2"/>
  <c r="M44" i="2" s="1"/>
  <c r="N40" i="2"/>
  <c r="N44" i="2" s="1"/>
  <c r="O40" i="2"/>
  <c r="O44" i="2" s="1"/>
  <c r="P40" i="2"/>
  <c r="P44" i="2" s="1"/>
  <c r="Q40" i="2"/>
  <c r="Q44" i="2" s="1"/>
  <c r="R40" i="2"/>
  <c r="S40" i="2"/>
  <c r="S44" i="2" s="1"/>
  <c r="T40" i="2"/>
  <c r="T44" i="2" s="1"/>
  <c r="U40" i="2"/>
  <c r="U44" i="2" s="1"/>
  <c r="H40" i="2"/>
  <c r="H44" i="2" s="1"/>
  <c r="E98" i="2"/>
  <c r="F98" i="2"/>
  <c r="G98" i="2"/>
  <c r="D98" i="2"/>
  <c r="E86" i="2"/>
  <c r="F86" i="2"/>
  <c r="G86" i="2"/>
  <c r="D86" i="2"/>
  <c r="E76" i="2"/>
  <c r="E80" i="2" s="1"/>
  <c r="F76" i="2"/>
  <c r="F80" i="2" s="1"/>
  <c r="G76" i="2"/>
  <c r="G80" i="2" s="1"/>
  <c r="D76" i="2"/>
  <c r="D80" i="2" s="1"/>
  <c r="E46" i="2"/>
  <c r="E50" i="2" s="1"/>
  <c r="F46" i="2"/>
  <c r="F50" i="2" s="1"/>
  <c r="G46" i="2"/>
  <c r="G50" i="2" s="1"/>
  <c r="D46" i="2"/>
  <c r="D50" i="2" s="1"/>
  <c r="E40" i="2"/>
  <c r="E44" i="2" s="1"/>
  <c r="F40" i="2"/>
  <c r="F44" i="2" s="1"/>
  <c r="G40" i="2"/>
  <c r="G44" i="2" s="1"/>
  <c r="D40" i="2"/>
  <c r="D44" i="2" s="1"/>
  <c r="E34" i="2"/>
  <c r="E38" i="2" s="1"/>
  <c r="F34" i="2"/>
  <c r="F38" i="2" s="1"/>
  <c r="G34" i="2"/>
  <c r="G38" i="2" s="1"/>
  <c r="D34" i="2"/>
  <c r="D38" i="2" s="1"/>
  <c r="E28" i="2"/>
  <c r="E32" i="2" s="1"/>
  <c r="F28" i="2"/>
  <c r="F32" i="2" s="1"/>
  <c r="G28" i="2"/>
  <c r="G32" i="2" s="1"/>
  <c r="D28" i="2"/>
  <c r="D32" i="2" s="1"/>
  <c r="H14" i="2" l="1"/>
  <c r="H34" i="2" s="1"/>
  <c r="I14" i="2"/>
  <c r="J14" i="2"/>
  <c r="K14" i="2"/>
  <c r="K34" i="2" s="1"/>
  <c r="L14" i="2"/>
  <c r="M14" i="2"/>
  <c r="N14" i="2"/>
  <c r="N34" i="2" s="1"/>
  <c r="N38" i="2" s="1"/>
  <c r="O14" i="2"/>
  <c r="O34" i="2" s="1"/>
  <c r="O38" i="2" s="1"/>
  <c r="P14" i="2"/>
  <c r="P34" i="2" s="1"/>
  <c r="Q14" i="2"/>
  <c r="Q34" i="2" s="1"/>
  <c r="R14" i="2"/>
  <c r="S14" i="2"/>
  <c r="S34" i="2" s="1"/>
  <c r="T14" i="2"/>
  <c r="T34" i="2" s="1"/>
  <c r="U14" i="2"/>
  <c r="U34" i="2" s="1"/>
  <c r="E158" i="2"/>
  <c r="E160" i="2" s="1"/>
  <c r="F158" i="2"/>
  <c r="F160" i="2" s="1"/>
  <c r="G158" i="2"/>
  <c r="G160" i="2" s="1"/>
  <c r="D158" i="2"/>
  <c r="D160" i="2" s="1"/>
  <c r="I154" i="2"/>
  <c r="I158" i="2" s="1"/>
  <c r="I160" i="2" s="1"/>
  <c r="J154" i="2"/>
  <c r="J158" i="2" s="1"/>
  <c r="J160" i="2" s="1"/>
  <c r="K154" i="2"/>
  <c r="K158" i="2" s="1"/>
  <c r="K160" i="2" s="1"/>
  <c r="L154" i="2"/>
  <c r="L158" i="2" s="1"/>
  <c r="L160" i="2" s="1"/>
  <c r="M154" i="2"/>
  <c r="M158" i="2" s="1"/>
  <c r="M160" i="2" s="1"/>
  <c r="N154" i="2"/>
  <c r="N158" i="2" s="1"/>
  <c r="N160" i="2" s="1"/>
  <c r="O154" i="2"/>
  <c r="O158" i="2" s="1"/>
  <c r="O160" i="2" s="1"/>
  <c r="P154" i="2"/>
  <c r="P158" i="2" s="1"/>
  <c r="P160" i="2" s="1"/>
  <c r="Q154" i="2"/>
  <c r="Q158" i="2" s="1"/>
  <c r="Q160" i="2" s="1"/>
  <c r="R154" i="2"/>
  <c r="R158" i="2" s="1"/>
  <c r="R160" i="2" s="1"/>
  <c r="S154" i="2"/>
  <c r="S158" i="2" s="1"/>
  <c r="S160" i="2" s="1"/>
  <c r="T154" i="2"/>
  <c r="T158" i="2" s="1"/>
  <c r="T160" i="2" s="1"/>
  <c r="U154" i="2"/>
  <c r="U158" i="2" s="1"/>
  <c r="U160" i="2" s="1"/>
  <c r="H154" i="2"/>
  <c r="H158" i="2" s="1"/>
  <c r="H160" i="2" s="1"/>
  <c r="U140" i="2"/>
  <c r="G138" i="2"/>
  <c r="G140" i="2" s="1"/>
  <c r="F138" i="2"/>
  <c r="F140" i="2" s="1"/>
  <c r="E138" i="2"/>
  <c r="E140" i="2" s="1"/>
  <c r="D138" i="2"/>
  <c r="D140" i="2" s="1"/>
  <c r="E144" i="2"/>
  <c r="E148" i="2" s="1"/>
  <c r="E150" i="2" s="1"/>
  <c r="F144" i="2"/>
  <c r="F148" i="2" s="1"/>
  <c r="F150" i="2" s="1"/>
  <c r="G144" i="2"/>
  <c r="G148" i="2" s="1"/>
  <c r="G150" i="2" s="1"/>
  <c r="D144" i="2"/>
  <c r="D148" i="2" s="1"/>
  <c r="D150" i="2" s="1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D157" i="2"/>
  <c r="U135" i="2"/>
  <c r="V135" i="2" s="1"/>
  <c r="U17" i="2"/>
  <c r="U22" i="2" s="1"/>
  <c r="T17" i="2"/>
  <c r="T16" i="2" s="1"/>
  <c r="S17" i="2"/>
  <c r="S22" i="2" s="1"/>
  <c r="R17" i="2"/>
  <c r="R22" i="2" s="1"/>
  <c r="Q17" i="2"/>
  <c r="Q22" i="2" s="1"/>
  <c r="P16" i="2"/>
  <c r="O17" i="2"/>
  <c r="O22" i="2" s="1"/>
  <c r="N17" i="2"/>
  <c r="N22" i="2" s="1"/>
  <c r="M17" i="2"/>
  <c r="M22" i="2" s="1"/>
  <c r="L17" i="2"/>
  <c r="L22" i="2" s="1"/>
  <c r="K17" i="2"/>
  <c r="K22" i="2" s="1"/>
  <c r="J17" i="2"/>
  <c r="J16" i="2" s="1"/>
  <c r="I17" i="2"/>
  <c r="I22" i="2" s="1"/>
  <c r="H17" i="2"/>
  <c r="H16" i="2" s="1"/>
  <c r="E22" i="2"/>
  <c r="F22" i="2"/>
  <c r="G22" i="2"/>
  <c r="J22" i="2"/>
  <c r="P22" i="2"/>
  <c r="T22" i="2"/>
  <c r="D22" i="2"/>
  <c r="V118" i="2"/>
  <c r="U15" i="2"/>
  <c r="U13" i="2"/>
  <c r="U28" i="2" s="1"/>
  <c r="T15" i="2"/>
  <c r="T13" i="2"/>
  <c r="T28" i="2" s="1"/>
  <c r="S15" i="2"/>
  <c r="S13" i="2"/>
  <c r="S28" i="2" s="1"/>
  <c r="S32" i="2" s="1"/>
  <c r="R15" i="2"/>
  <c r="R13" i="2"/>
  <c r="R28" i="2" s="1"/>
  <c r="Q15" i="2"/>
  <c r="Q13" i="2"/>
  <c r="Q28" i="2" s="1"/>
  <c r="P15" i="2"/>
  <c r="P13" i="2"/>
  <c r="P28" i="2" s="1"/>
  <c r="O15" i="2"/>
  <c r="O13" i="2"/>
  <c r="O28" i="2" s="1"/>
  <c r="O32" i="2" s="1"/>
  <c r="N15" i="2"/>
  <c r="N13" i="2"/>
  <c r="N28" i="2" s="1"/>
  <c r="L15" i="2"/>
  <c r="L13" i="2"/>
  <c r="L28" i="2" s="1"/>
  <c r="M15" i="2"/>
  <c r="K15" i="2"/>
  <c r="K13" i="2"/>
  <c r="K28" i="2" s="1"/>
  <c r="K32" i="2" s="1"/>
  <c r="M13" i="2"/>
  <c r="M28" i="2" s="1"/>
  <c r="M32" i="2" s="1"/>
  <c r="J15" i="2"/>
  <c r="J13" i="2"/>
  <c r="J28" i="2" s="1"/>
  <c r="I15" i="2"/>
  <c r="I13" i="2"/>
  <c r="I28" i="2" s="1"/>
  <c r="H15" i="2"/>
  <c r="H13" i="2"/>
  <c r="H28" i="2" s="1"/>
  <c r="G12" i="2"/>
  <c r="G25" i="2" s="1"/>
  <c r="G110" i="2" s="1"/>
  <c r="F12" i="2"/>
  <c r="F25" i="2" s="1"/>
  <c r="F110" i="2" s="1"/>
  <c r="E12" i="2"/>
  <c r="D12" i="2"/>
  <c r="V161" i="2"/>
  <c r="V159" i="2"/>
  <c r="V156" i="2"/>
  <c r="V155" i="2"/>
  <c r="V151" i="2"/>
  <c r="V149" i="2"/>
  <c r="V147" i="2"/>
  <c r="V146" i="2"/>
  <c r="V145" i="2"/>
  <c r="V141" i="2"/>
  <c r="V139" i="2"/>
  <c r="V136" i="2"/>
  <c r="V131" i="2"/>
  <c r="V130" i="2"/>
  <c r="V129" i="2"/>
  <c r="V128" i="2"/>
  <c r="V127" i="2"/>
  <c r="V126" i="2"/>
  <c r="V125" i="2"/>
  <c r="V116" i="2"/>
  <c r="V117" i="2"/>
  <c r="V119" i="2"/>
  <c r="V120" i="2"/>
  <c r="V121" i="2"/>
  <c r="V115" i="2"/>
  <c r="V18" i="2"/>
  <c r="V19" i="2"/>
  <c r="V20" i="2"/>
  <c r="V21" i="2"/>
  <c r="V23" i="2"/>
  <c r="V24" i="2"/>
  <c r="U162" i="2"/>
  <c r="U92" i="2"/>
  <c r="U86" i="2"/>
  <c r="U74" i="2"/>
  <c r="U68" i="2"/>
  <c r="U62" i="2"/>
  <c r="U56" i="2"/>
  <c r="U38" i="2"/>
  <c r="U32" i="2"/>
  <c r="I162" i="2"/>
  <c r="I92" i="2"/>
  <c r="I86" i="2"/>
  <c r="I74" i="2"/>
  <c r="I68" i="2"/>
  <c r="I62" i="2"/>
  <c r="I56" i="2"/>
  <c r="I32" i="2"/>
  <c r="H92" i="2"/>
  <c r="H86" i="2"/>
  <c r="H74" i="2"/>
  <c r="H68" i="2"/>
  <c r="H62" i="2"/>
  <c r="H56" i="2"/>
  <c r="H38" i="2"/>
  <c r="H32" i="2"/>
  <c r="T162" i="2"/>
  <c r="T92" i="2"/>
  <c r="T86" i="2"/>
  <c r="T74" i="2"/>
  <c r="T68" i="2"/>
  <c r="T62" i="2"/>
  <c r="T56" i="2"/>
  <c r="T38" i="2"/>
  <c r="T32" i="2"/>
  <c r="S162" i="2"/>
  <c r="S92" i="2"/>
  <c r="S86" i="2"/>
  <c r="S74" i="2"/>
  <c r="S68" i="2"/>
  <c r="S62" i="2"/>
  <c r="S56" i="2"/>
  <c r="S38" i="2"/>
  <c r="R162" i="2"/>
  <c r="R92" i="2"/>
  <c r="R86" i="2"/>
  <c r="R74" i="2"/>
  <c r="R68" i="2"/>
  <c r="R62" i="2"/>
  <c r="R56" i="2"/>
  <c r="R32" i="2"/>
  <c r="Q162" i="2"/>
  <c r="Q92" i="2"/>
  <c r="Q86" i="2"/>
  <c r="Q74" i="2"/>
  <c r="Q68" i="2"/>
  <c r="Q62" i="2"/>
  <c r="Q56" i="2"/>
  <c r="Q38" i="2"/>
  <c r="Q32" i="2"/>
  <c r="P162" i="2"/>
  <c r="P92" i="2"/>
  <c r="P86" i="2"/>
  <c r="P74" i="2"/>
  <c r="P68" i="2"/>
  <c r="P62" i="2"/>
  <c r="P56" i="2"/>
  <c r="P38" i="2"/>
  <c r="P32" i="2"/>
  <c r="O162" i="2"/>
  <c r="O92" i="2"/>
  <c r="O86" i="2"/>
  <c r="O74" i="2"/>
  <c r="O68" i="2"/>
  <c r="O62" i="2"/>
  <c r="O56" i="2"/>
  <c r="N162" i="2"/>
  <c r="N92" i="2"/>
  <c r="N86" i="2"/>
  <c r="N74" i="2"/>
  <c r="N68" i="2"/>
  <c r="N62" i="2"/>
  <c r="N56" i="2"/>
  <c r="N32" i="2"/>
  <c r="M162" i="2"/>
  <c r="M92" i="2"/>
  <c r="M86" i="2"/>
  <c r="M74" i="2"/>
  <c r="M68" i="2"/>
  <c r="M62" i="2"/>
  <c r="M56" i="2"/>
  <c r="L162" i="2"/>
  <c r="L92" i="2"/>
  <c r="L86" i="2"/>
  <c r="L74" i="2"/>
  <c r="L68" i="2"/>
  <c r="L62" i="2"/>
  <c r="L56" i="2"/>
  <c r="L32" i="2"/>
  <c r="K162" i="2"/>
  <c r="K92" i="2"/>
  <c r="K86" i="2"/>
  <c r="K74" i="2"/>
  <c r="K68" i="2"/>
  <c r="K62" i="2"/>
  <c r="K56" i="2"/>
  <c r="K38" i="2"/>
  <c r="J162" i="2"/>
  <c r="J92" i="2"/>
  <c r="J86" i="2"/>
  <c r="J74" i="2"/>
  <c r="J68" i="2"/>
  <c r="J62" i="2"/>
  <c r="J56" i="2"/>
  <c r="J32" i="2"/>
  <c r="T12" i="2" l="1"/>
  <c r="T25" i="2" s="1"/>
  <c r="T110" i="2" s="1"/>
  <c r="U12" i="2"/>
  <c r="E25" i="2"/>
  <c r="E110" i="2" s="1"/>
  <c r="V150" i="2"/>
  <c r="Q16" i="2"/>
  <c r="V160" i="2"/>
  <c r="O12" i="2"/>
  <c r="M12" i="2"/>
  <c r="M34" i="2"/>
  <c r="M38" i="2" s="1"/>
  <c r="U16" i="2"/>
  <c r="S12" i="2"/>
  <c r="S25" i="2" s="1"/>
  <c r="S110" i="2" s="1"/>
  <c r="I16" i="2"/>
  <c r="M16" i="2"/>
  <c r="R16" i="2"/>
  <c r="U137" i="2"/>
  <c r="V137" i="2" s="1"/>
  <c r="H12" i="2"/>
  <c r="L12" i="2"/>
  <c r="L34" i="2"/>
  <c r="L38" i="2" s="1"/>
  <c r="L16" i="2"/>
  <c r="K12" i="2"/>
  <c r="N16" i="2"/>
  <c r="S16" i="2"/>
  <c r="N12" i="2"/>
  <c r="N25" i="2" s="1"/>
  <c r="N110" i="2" s="1"/>
  <c r="R12" i="2"/>
  <c r="R25" i="2" s="1"/>
  <c r="R110" i="2" s="1"/>
  <c r="R34" i="2"/>
  <c r="R38" i="2" s="1"/>
  <c r="J12" i="2"/>
  <c r="J25" i="2" s="1"/>
  <c r="J110" i="2" s="1"/>
  <c r="J34" i="2"/>
  <c r="J38" i="2" s="1"/>
  <c r="D25" i="2"/>
  <c r="D110" i="2" s="1"/>
  <c r="P12" i="2"/>
  <c r="I12" i="2"/>
  <c r="I25" i="2" s="1"/>
  <c r="I110" i="2" s="1"/>
  <c r="I34" i="2"/>
  <c r="I38" i="2" s="1"/>
  <c r="K16" i="2"/>
  <c r="Q12" i="2"/>
  <c r="Q25" i="2" s="1"/>
  <c r="Q110" i="2" s="1"/>
  <c r="U25" i="2"/>
  <c r="U110" i="2" s="1"/>
  <c r="P25" i="2"/>
  <c r="P110" i="2" s="1"/>
  <c r="O25" i="2"/>
  <c r="O110" i="2" s="1"/>
  <c r="M25" i="2"/>
  <c r="M110" i="2" s="1"/>
  <c r="L25" i="2"/>
  <c r="L110" i="2" s="1"/>
  <c r="K25" i="2"/>
  <c r="K110" i="2" s="1"/>
  <c r="V158" i="2"/>
  <c r="V140" i="2"/>
  <c r="V148" i="2"/>
  <c r="V138" i="2"/>
  <c r="V157" i="2"/>
  <c r="O16" i="2"/>
  <c r="V17" i="2"/>
  <c r="H22" i="2"/>
  <c r="V15" i="2"/>
  <c r="V14" i="2"/>
  <c r="V13" i="2"/>
  <c r="G162" i="2"/>
  <c r="G92" i="2"/>
  <c r="G74" i="2"/>
  <c r="G68" i="2"/>
  <c r="G62" i="2"/>
  <c r="G56" i="2"/>
  <c r="F92" i="2"/>
  <c r="F74" i="2"/>
  <c r="F68" i="2"/>
  <c r="F62" i="2"/>
  <c r="F56" i="2"/>
  <c r="E92" i="2"/>
  <c r="E74" i="2"/>
  <c r="E68" i="2"/>
  <c r="E62" i="2"/>
  <c r="E56" i="2"/>
  <c r="V12" i="2" l="1"/>
  <c r="H25" i="2"/>
  <c r="H110" i="2" s="1"/>
  <c r="V25" i="2"/>
  <c r="V16" i="2"/>
  <c r="V22" i="2"/>
  <c r="D92" i="2"/>
  <c r="D68" i="2"/>
  <c r="D62" i="2" l="1"/>
  <c r="D74" i="2" l="1"/>
  <c r="D56" i="2"/>
</calcChain>
</file>

<file path=xl/sharedStrings.xml><?xml version="1.0" encoding="utf-8"?>
<sst xmlns="http://schemas.openxmlformats.org/spreadsheetml/2006/main" count="1482" uniqueCount="182">
  <si>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</si>
  <si>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</si>
  <si>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параметра</t>
  </si>
  <si>
    <t>Ед. измерения</t>
  </si>
  <si>
    <t>-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</si>
  <si>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</si>
  <si>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</si>
  <si>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</si>
  <si>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</si>
  <si>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</si>
  <si>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</si>
  <si>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</si>
  <si>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</si>
  <si>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 xml:space="preserve"> -за содержание дома</t>
  </si>
  <si>
    <t xml:space="preserve"> -за текущий ремонт</t>
  </si>
  <si>
    <t xml:space="preserve"> -за услуги управления</t>
  </si>
  <si>
    <t>Получено денежных средств, в том числе:</t>
  </si>
  <si>
    <t xml:space="preserve"> -денежных средств от собственников/нанимателей помещений</t>
  </si>
  <si>
    <t xml:space="preserve"> -целевых взносов от собственников/нанимателей помещений</t>
  </si>
  <si>
    <t xml:space="preserve"> -субсидий</t>
  </si>
  <si>
    <t xml:space="preserve"> -денежных средств от использования общего имущества</t>
  </si>
  <si>
    <t xml:space="preserve"> -прочие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</si>
  <si>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</si>
  <si>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</si>
  <si>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</si>
  <si>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</si>
  <si>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</si>
  <si>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</si>
  <si>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</si>
  <si>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</si>
  <si>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</si>
  <si>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</si>
  <si>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за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</si>
  <si>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</si>
  <si>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</si>
  <si>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</si>
  <si>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</si>
  <si>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</si>
  <si>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</si>
  <si>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</si>
  <si>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Общая информация по предоставленным коммунальным услугам</t>
  </si>
  <si>
    <t xml:space="preserve">Информация о предоставленных коммунальных услугах (заполняется по каждой коммунальной услуге) 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</si>
  <si>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</si>
  <si>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</si>
  <si>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</si>
  <si>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</si>
  <si>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</si>
  <si>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</si>
  <si>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</si>
  <si>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</si>
  <si>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</si>
  <si>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</si>
  <si>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</si>
  <si>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</si>
  <si>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</si>
  <si>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</si>
  <si>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</si>
  <si>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</si>
  <si>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</si>
  <si>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</si>
  <si>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</si>
  <si>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</si>
  <si>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</si>
  <si>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</si>
  <si>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</si>
  <si>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</si>
  <si>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</si>
  <si>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</si>
  <si>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</si>
  <si>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</si>
  <si>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</si>
  <si>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</si>
  <si>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</si>
  <si>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</si>
  <si>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</si>
  <si>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</si>
  <si>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</si>
  <si>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</si>
  <si>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</si>
  <si>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м3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</si>
  <si>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</si>
  <si>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</si>
  <si>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</si>
  <si>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</si>
  <si>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</si>
  <si>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</si>
  <si>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</si>
  <si>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</si>
  <si>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</si>
  <si>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</si>
  <si>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</si>
  <si>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</si>
  <si>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</si>
  <si>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</si>
  <si>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</si>
  <si>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</si>
  <si>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</si>
  <si>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</si>
  <si>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</si>
  <si>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</si>
  <si>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</si>
  <si>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Электроснабжение</t>
  </si>
  <si>
    <t>кВт*ч</t>
  </si>
  <si>
    <t>Содержание общего  имущества</t>
  </si>
  <si>
    <t>Текущий ремонт общего имущества</t>
  </si>
  <si>
    <t>руб./м2</t>
  </si>
  <si>
    <t>Вывоз ТБО</t>
  </si>
  <si>
    <t xml:space="preserve">Содержание придомовой территории                                               </t>
  </si>
  <si>
    <t xml:space="preserve">Содержание и ТО ПЗУ                      </t>
  </si>
  <si>
    <t>Содержание и ТО АППЗ   (услуга не оказывалась)</t>
  </si>
  <si>
    <t xml:space="preserve">Уборка лестничных клеток                                          </t>
  </si>
  <si>
    <t>Тепловая энергия для Подогрева ГВС</t>
  </si>
  <si>
    <t>Диспетчеризация</t>
  </si>
  <si>
    <t>Содержание и ТО лифтов (услуга не оказывалась</t>
  </si>
  <si>
    <t xml:space="preserve">Эксплуатация коллективных приборов учета                             (услуга не оказывалась)                               </t>
  </si>
  <si>
    <t>Накладные расходы на услуги УК</t>
  </si>
  <si>
    <t>Тех.сл.</t>
  </si>
  <si>
    <t>Услуги</t>
  </si>
  <si>
    <t>Стоимость</t>
  </si>
  <si>
    <t>Льготы</t>
  </si>
  <si>
    <t>Перерасчет</t>
  </si>
  <si>
    <t>Итого</t>
  </si>
  <si>
    <t>Оплачено</t>
  </si>
  <si>
    <t>Долг</t>
  </si>
  <si>
    <t>Собираемость</t>
  </si>
  <si>
    <t>0.00</t>
  </si>
  <si>
    <t>Жилищные услуги</t>
  </si>
  <si>
    <t>Коммунальные услуги</t>
  </si>
  <si>
    <t>0.0%</t>
  </si>
  <si>
    <t>Коммунальные услуги в целях содержания общего имущества</t>
  </si>
  <si>
    <t>Электроэнергия ОДН</t>
  </si>
  <si>
    <t>Пени и аванс</t>
  </si>
  <si>
    <t>Пени</t>
  </si>
  <si>
    <t>ООО «Дом+»
Расщепление платежей ООО «Дом+» на 31.12.2019
обл Ленинградская, р-н Всеволожский, п Романовка, ул Верхняя, д. 14 корп. 3
Отчет сформирован 28.03.2020 12:38 Матвеева О.Ф.</t>
  </si>
  <si>
    <t>351807.92</t>
  </si>
  <si>
    <t>6155.69</t>
  </si>
  <si>
    <t>357963.61</t>
  </si>
  <si>
    <t>305745.66</t>
  </si>
  <si>
    <t>52217.95</t>
  </si>
  <si>
    <t>87.08%</t>
  </si>
  <si>
    <t>Накладные расходы УК</t>
  </si>
  <si>
    <t>78.71%</t>
  </si>
  <si>
    <t>Содер.и тек.рем.общ.имущества дома</t>
  </si>
  <si>
    <t>80.72%</t>
  </si>
  <si>
    <t>Содержание придом.территор.</t>
  </si>
  <si>
    <t>ТО газового оборудования</t>
  </si>
  <si>
    <t>Уборка лест.клеток</t>
  </si>
  <si>
    <t>ХВС на СОИ</t>
  </si>
  <si>
    <t>69.14%</t>
  </si>
  <si>
    <t>Водоотведение ХВС</t>
  </si>
  <si>
    <t>94.04%</t>
  </si>
  <si>
    <t>Холодная вода</t>
  </si>
  <si>
    <t>Электроэнергия день</t>
  </si>
  <si>
    <t>96.32%</t>
  </si>
  <si>
    <t>Электроэнергия ночь</t>
  </si>
  <si>
    <t>98.95%</t>
  </si>
  <si>
    <t>Электроэнергия однотарифный</t>
  </si>
  <si>
    <t>87.5%</t>
  </si>
  <si>
    <t>64.53%</t>
  </si>
  <si>
    <t>Электроэнергия день ОДН</t>
  </si>
  <si>
    <t>294.12%</t>
  </si>
  <si>
    <t>Электроэнергия ночь ОДН</t>
  </si>
  <si>
    <t>88.42%</t>
  </si>
  <si>
    <t>ЛО, р-н Всеволжский, п.Романовка, ул.Верхняя, д.14, корп.3</t>
  </si>
  <si>
    <t>ЛО, р-н Всеволжский, п.Романовка, ул.Верхняя, д.14, корп.4</t>
  </si>
  <si>
    <t>ЛО, р-н Всеволжский, п.Романовка, ул.Верхняя, д.14, корп.5</t>
  </si>
  <si>
    <t>ЛО, р-н Всеволожский, п Романовка, ул Школьная, д.60</t>
  </si>
  <si>
    <t>ЛО, р-н Всеволожский, д.Ваганово, д.10</t>
  </si>
  <si>
    <t>ЛО, р-н Всеволожский, д.Ваганово, д.11</t>
  </si>
  <si>
    <t>ЛО, р-н Всеволожский, д.Ваганово, д.12</t>
  </si>
  <si>
    <t>ЛО, р-н Всеволожский, д.Ваганово, д.13</t>
  </si>
  <si>
    <t>ЛО, р-н Всеволожский, д.Ваганово, д.14</t>
  </si>
  <si>
    <t>ЛО, р-н Всеволожский, д.Ваганово, д.16</t>
  </si>
  <si>
    <t>ЛО, р-н Всеволожский, д.Ваганово, д.17</t>
  </si>
  <si>
    <t>ЛО, р-н Всеволожский, д.Ваганово, д.18</t>
  </si>
  <si>
    <t>ЛО, р-н Всеволожский, д.Ваганово, д.19</t>
  </si>
  <si>
    <t>ЛО, р-н Всеволожский, д.Ваганово, д.21</t>
  </si>
  <si>
    <t>ЛО, р-н Всеволожский, д.Ваганово, д.22</t>
  </si>
  <si>
    <t>ЛО, р-н Всеволожский, д.Ваганово, д.8</t>
  </si>
  <si>
    <t>ЛО, р-н Всеволожский, д.Ваганово, д.9</t>
  </si>
  <si>
    <t>ЛО, р-н Всеволожский, д.Морье, д.158</t>
  </si>
  <si>
    <t>Содержание и ТО газ.обор.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</si>
</sst>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;0.00"/>
    <numFmt numFmtId="165" formatCode="0;\-0;0"/>
    <numFmt numFmtId="166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3" fillId="0" borderId="1" xfId="0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5" fillId="0" borderId="1" xfId="0" applyFont="1" applyFill="1" applyBorder="1"/>
    <xf numFmtId="14" fontId="2" fillId="0" borderId="1" xfId="0" applyNumberFormat="1" applyFont="1" applyFill="1" applyBorder="1"/>
    <xf numFmtId="14" fontId="1" fillId="0" borderId="1" xfId="0" applyNumberFormat="1" applyFont="1" applyFill="1" applyBorder="1"/>
    <xf numFmtId="0" fontId="11" fillId="0" borderId="1" xfId="0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left" vertical="top"/>
    </xf>
    <xf numFmtId="164" fontId="11" fillId="0" borderId="1" xfId="0" applyNumberFormat="1" applyFont="1" applyBorder="1" applyAlignment="1">
      <alignment horizontal="right" vertical="top" shrinkToFit="1"/>
    </xf>
    <xf numFmtId="165" fontId="11" fillId="0" borderId="1" xfId="0" applyNumberFormat="1" applyFont="1" applyBorder="1" applyAlignment="1">
      <alignment horizontal="right" vertical="top" shrinkToFit="1"/>
    </xf>
    <xf numFmtId="165" fontId="12" fillId="0" borderId="1" xfId="0" applyNumberFormat="1" applyFont="1" applyBorder="1" applyAlignment="1">
      <alignment horizontal="left" vertical="top"/>
    </xf>
    <xf numFmtId="164" fontId="12" fillId="0" borderId="1" xfId="0" applyNumberFormat="1" applyFont="1" applyBorder="1" applyAlignment="1">
      <alignment horizontal="right" vertical="top" shrinkToFit="1"/>
    </xf>
    <xf numFmtId="165" fontId="12" fillId="0" borderId="1" xfId="0" applyNumberFormat="1" applyFont="1" applyBorder="1" applyAlignment="1">
      <alignment horizontal="right" vertical="top" shrinkToFit="1"/>
    </xf>
    <xf numFmtId="165" fontId="12" fillId="0" borderId="3" xfId="0" applyNumberFormat="1" applyFont="1" applyBorder="1" applyAlignment="1">
      <alignment horizontal="left" vertical="top"/>
    </xf>
    <xf numFmtId="164" fontId="12" fillId="0" borderId="3" xfId="0" applyNumberFormat="1" applyFont="1" applyBorder="1" applyAlignment="1">
      <alignment horizontal="right" vertical="top" shrinkToFit="1"/>
    </xf>
    <xf numFmtId="165" fontId="12" fillId="0" borderId="3" xfId="0" applyNumberFormat="1" applyFont="1" applyBorder="1" applyAlignment="1">
      <alignment horizontal="right" vertical="top" shrinkToFit="1"/>
    </xf>
    <xf numFmtId="0" fontId="0" fillId="0" borderId="2" xfId="0" applyBorder="1"/>
    <xf numFmtId="164" fontId="12" fillId="0" borderId="3" xfId="0" applyNumberFormat="1" applyFont="1" applyFill="1" applyBorder="1" applyAlignment="1">
      <alignment horizontal="right" vertical="top" shrinkToFit="1"/>
    </xf>
    <xf numFmtId="164" fontId="12" fillId="0" borderId="4" xfId="0" applyNumberFormat="1" applyFont="1" applyFill="1" applyBorder="1" applyAlignment="1">
      <alignment horizontal="right" vertical="top" shrinkToFit="1"/>
    </xf>
    <xf numFmtId="164" fontId="12" fillId="2" borderId="3" xfId="0" applyNumberFormat="1" applyFont="1" applyFill="1" applyBorder="1" applyAlignment="1">
      <alignment horizontal="right" vertical="top" shrinkToFit="1"/>
    </xf>
    <xf numFmtId="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11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5" fillId="0" borderId="8" xfId="0" applyFont="1" applyFill="1" applyBorder="1" applyAlignment="1"/>
    <xf numFmtId="0" fontId="5" fillId="0" borderId="8" xfId="0" applyFont="1" applyFill="1" applyBorder="1" applyAlignment="1">
      <alignment wrapText="1"/>
    </xf>
    <xf numFmtId="0" fontId="2" fillId="0" borderId="10" xfId="0" applyFont="1" applyFill="1" applyBorder="1"/>
    <xf numFmtId="0" fontId="3" fillId="0" borderId="11" xfId="0" applyFont="1" applyFill="1" applyBorder="1"/>
    <xf numFmtId="0" fontId="2" fillId="0" borderId="11" xfId="0" applyFont="1" applyFill="1" applyBorder="1"/>
    <xf numFmtId="0" fontId="1" fillId="0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Fill="1" applyBorder="1"/>
    <xf numFmtId="0" fontId="0" fillId="0" borderId="7" xfId="0" applyFill="1" applyBorder="1"/>
    <xf numFmtId="0" fontId="1" fillId="0" borderId="8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6" fontId="9" fillId="0" borderId="1" xfId="0" applyNumberFormat="1" applyFont="1" applyFill="1" applyBorder="1" applyAlignment="1">
      <alignment horizontal="right" vertical="top" shrinkToFit="1"/>
    </xf>
    <xf numFmtId="166" fontId="0" fillId="0" borderId="9" xfId="0" applyNumberFormat="1" applyFill="1" applyBorder="1"/>
    <xf numFmtId="4" fontId="10" fillId="0" borderId="1" xfId="0" applyNumberFormat="1" applyFont="1" applyFill="1" applyBorder="1"/>
    <xf numFmtId="4" fontId="10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0" fillId="0" borderId="9" xfId="0" applyNumberFormat="1" applyFill="1" applyBorder="1"/>
    <xf numFmtId="0" fontId="2" fillId="0" borderId="8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0" fontId="0" fillId="0" borderId="12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4"/>
  <sheetViews>
    <sheetView tabSelected="1" zoomScale="82" zoomScaleNormal="82" zoomScaleSheetLayoutView="85" workbookViewId="0">
      <pane ySplit="4" topLeftCell="A159" activePane="bottomLeft" state="frozen"/>
      <selection pane="bottomLeft" activeCell="D11" sqref="D11"/>
    </sheetView>
  </sheetViews>
  <sheetFormatPr defaultRowHeight="15" x14ac:dyDescent="0.25"/>
  <cols>
    <col min="1" max="1" width="5.28515625" customWidth="1"/>
    <col min="2" max="2" width="82.140625" customWidth="1"/>
    <col min="3" max="3" width="14.7109375" customWidth="1"/>
    <col min="4" max="4" width="28.5703125" customWidth="1"/>
    <col min="5" max="21" width="28.42578125" customWidth="1"/>
    <col min="22" max="22" width="19.5703125" customWidth="1"/>
    <col min="23" max="23" width="19.7109375" customWidth="1"/>
  </cols>
  <sheetData>
    <row r="1" spans="1:23" ht="49.5" customHeight="1" x14ac:dyDescent="0.25">
      <c r="A1" s="46" t="s">
        <v>0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3" ht="18.75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9"/>
    </row>
    <row r="3" spans="1:23" s="3" customFormat="1" x14ac:dyDescent="0.25">
      <c r="A3" s="38"/>
      <c r="B3" s="4"/>
      <c r="C3" s="4"/>
      <c r="D3" s="36">
        <v>1232.8</v>
      </c>
      <c r="E3" s="36">
        <v>1399.4</v>
      </c>
      <c r="F3" s="36">
        <v>1132.5</v>
      </c>
      <c r="G3" s="36">
        <v>1401.3</v>
      </c>
      <c r="H3" s="36">
        <v>1401.3</v>
      </c>
      <c r="I3" s="36">
        <v>1579</v>
      </c>
      <c r="J3" s="36">
        <v>1573.4</v>
      </c>
      <c r="K3" s="36">
        <v>1401.3</v>
      </c>
      <c r="L3" s="36">
        <v>1572.3</v>
      </c>
      <c r="M3" s="36">
        <v>1401.3</v>
      </c>
      <c r="N3" s="36">
        <v>1401.3</v>
      </c>
      <c r="O3" s="36">
        <v>646.20000000000005</v>
      </c>
      <c r="P3" s="36">
        <v>625</v>
      </c>
      <c r="Q3" s="36">
        <v>1401.3</v>
      </c>
      <c r="R3" s="36">
        <v>1401.3</v>
      </c>
      <c r="S3" s="36">
        <v>1401.3</v>
      </c>
      <c r="T3" s="36">
        <v>1401.3</v>
      </c>
      <c r="U3" s="36">
        <v>1401.3</v>
      </c>
      <c r="V3" s="39"/>
    </row>
    <row r="4" spans="1:23" ht="75" customHeight="1" x14ac:dyDescent="0.3">
      <c r="A4" s="66" t="s">
        <v>1</v>
      </c>
      <c r="B4" s="67" t="s">
        <v>2</v>
      </c>
      <c r="C4" s="68" t="s">
        <v>3</v>
      </c>
      <c r="D4" s="69" t="s">
        <v>163</v>
      </c>
      <c r="E4" s="69" t="s">
        <v>164</v>
      </c>
      <c r="F4" s="69" t="s">
        <v>165</v>
      </c>
      <c r="G4" s="69" t="s">
        <v>166</v>
      </c>
      <c r="H4" s="69" t="s">
        <v>178</v>
      </c>
      <c r="I4" s="69" t="s">
        <v>179</v>
      </c>
      <c r="J4" s="69" t="s">
        <v>167</v>
      </c>
      <c r="K4" s="69" t="s">
        <v>168</v>
      </c>
      <c r="L4" s="69" t="s">
        <v>169</v>
      </c>
      <c r="M4" s="69" t="s">
        <v>170</v>
      </c>
      <c r="N4" s="69" t="s">
        <v>171</v>
      </c>
      <c r="O4" s="69" t="s">
        <v>172</v>
      </c>
      <c r="P4" s="69" t="s">
        <v>173</v>
      </c>
      <c r="Q4" s="69" t="s">
        <v>174</v>
      </c>
      <c r="R4" s="69" t="s">
        <v>175</v>
      </c>
      <c r="S4" s="69" t="s">
        <v>176</v>
      </c>
      <c r="T4" s="69" t="s">
        <v>177</v>
      </c>
      <c r="U4" s="69" t="s">
        <v>180</v>
      </c>
      <c r="V4" s="70" t="s">
        <v>121</v>
      </c>
    </row>
    <row r="5" spans="1:23" x14ac:dyDescent="0.25">
      <c r="A5" s="38">
        <v>1</v>
      </c>
      <c r="B5" s="4" t="s">
        <v>5</v>
      </c>
      <c r="C5" s="4" t="s">
        <v>4</v>
      </c>
      <c r="D5" s="5">
        <v>43830</v>
      </c>
      <c r="E5" s="5">
        <v>43830</v>
      </c>
      <c r="F5" s="5">
        <v>43830</v>
      </c>
      <c r="G5" s="5">
        <v>43830</v>
      </c>
      <c r="H5" s="5">
        <v>43830</v>
      </c>
      <c r="I5" s="5">
        <v>43830</v>
      </c>
      <c r="J5" s="5">
        <v>43830</v>
      </c>
      <c r="K5" s="5">
        <v>43830</v>
      </c>
      <c r="L5" s="5">
        <v>43830</v>
      </c>
      <c r="M5" s="5">
        <v>43830</v>
      </c>
      <c r="N5" s="5">
        <v>43830</v>
      </c>
      <c r="O5" s="5">
        <v>43830</v>
      </c>
      <c r="P5" s="5">
        <v>43830</v>
      </c>
      <c r="Q5" s="5">
        <v>43830</v>
      </c>
      <c r="R5" s="5">
        <v>43830</v>
      </c>
      <c r="S5" s="5">
        <v>43830</v>
      </c>
      <c r="T5" s="5">
        <v>43830</v>
      </c>
      <c r="U5" s="5">
        <v>43830</v>
      </c>
      <c r="V5" s="39"/>
    </row>
    <row r="6" spans="1:23" x14ac:dyDescent="0.25">
      <c r="A6" s="38">
        <v>2</v>
      </c>
      <c r="B6" s="4" t="s">
        <v>6</v>
      </c>
      <c r="C6" s="4" t="s">
        <v>4</v>
      </c>
      <c r="D6" s="18">
        <v>43556</v>
      </c>
      <c r="E6" s="18">
        <v>43556</v>
      </c>
      <c r="F6" s="18">
        <v>43556</v>
      </c>
      <c r="G6" s="18">
        <v>43556</v>
      </c>
      <c r="H6" s="18">
        <v>43709</v>
      </c>
      <c r="I6" s="18">
        <v>43709</v>
      </c>
      <c r="J6" s="18">
        <v>43709</v>
      </c>
      <c r="K6" s="18">
        <v>43709</v>
      </c>
      <c r="L6" s="18">
        <v>43709</v>
      </c>
      <c r="M6" s="18">
        <v>43709</v>
      </c>
      <c r="N6" s="18">
        <v>43709</v>
      </c>
      <c r="O6" s="18">
        <v>43709</v>
      </c>
      <c r="P6" s="18">
        <v>43709</v>
      </c>
      <c r="Q6" s="18">
        <v>43709</v>
      </c>
      <c r="R6" s="18">
        <v>43709</v>
      </c>
      <c r="S6" s="18">
        <v>43709</v>
      </c>
      <c r="T6" s="18">
        <v>43709</v>
      </c>
      <c r="U6" s="18">
        <v>43709</v>
      </c>
      <c r="V6" s="39"/>
    </row>
    <row r="7" spans="1:23" x14ac:dyDescent="0.25">
      <c r="A7" s="40">
        <v>3</v>
      </c>
      <c r="B7" s="6" t="s">
        <v>7</v>
      </c>
      <c r="C7" s="6" t="s">
        <v>4</v>
      </c>
      <c r="D7" s="17">
        <v>43830</v>
      </c>
      <c r="E7" s="17">
        <v>43830</v>
      </c>
      <c r="F7" s="17">
        <v>43830</v>
      </c>
      <c r="G7" s="17">
        <v>43830</v>
      </c>
      <c r="H7" s="17">
        <v>43830</v>
      </c>
      <c r="I7" s="17">
        <v>43830</v>
      </c>
      <c r="J7" s="17">
        <v>43830</v>
      </c>
      <c r="K7" s="17">
        <v>43830</v>
      </c>
      <c r="L7" s="17">
        <v>43830</v>
      </c>
      <c r="M7" s="17">
        <v>43830</v>
      </c>
      <c r="N7" s="17">
        <v>43830</v>
      </c>
      <c r="O7" s="17">
        <v>43830</v>
      </c>
      <c r="P7" s="17">
        <v>43830</v>
      </c>
      <c r="Q7" s="17">
        <v>43830</v>
      </c>
      <c r="R7" s="17">
        <v>43830</v>
      </c>
      <c r="S7" s="17">
        <v>43830</v>
      </c>
      <c r="T7" s="17">
        <v>43830</v>
      </c>
      <c r="U7" s="17">
        <v>43830</v>
      </c>
      <c r="V7" s="39"/>
    </row>
    <row r="8" spans="1:23" x14ac:dyDescent="0.25">
      <c r="A8" s="41" t="s">
        <v>8</v>
      </c>
      <c r="B8" s="34"/>
      <c r="C8" s="34"/>
      <c r="D8" s="3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9"/>
    </row>
    <row r="9" spans="1:23" x14ac:dyDescent="0.25">
      <c r="A9" s="40">
        <v>4</v>
      </c>
      <c r="B9" s="6" t="s">
        <v>9</v>
      </c>
      <c r="C9" s="6" t="s">
        <v>39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39"/>
    </row>
    <row r="10" spans="1:23" x14ac:dyDescent="0.25">
      <c r="A10" s="40">
        <v>5</v>
      </c>
      <c r="B10" s="6" t="s">
        <v>10</v>
      </c>
      <c r="C10" s="6" t="s">
        <v>39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39"/>
    </row>
    <row r="11" spans="1:23" ht="20.25" customHeight="1" x14ac:dyDescent="0.25">
      <c r="A11" s="40">
        <v>6</v>
      </c>
      <c r="B11" s="6" t="s">
        <v>11</v>
      </c>
      <c r="C11" s="6" t="s">
        <v>39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39"/>
    </row>
    <row r="12" spans="1:23" x14ac:dyDescent="0.25">
      <c r="A12" s="40">
        <v>7</v>
      </c>
      <c r="B12" s="9" t="s">
        <v>12</v>
      </c>
      <c r="C12" s="6" t="s">
        <v>39</v>
      </c>
      <c r="D12" s="52">
        <f>+D13+D15</f>
        <v>255620.77</v>
      </c>
      <c r="E12" s="52">
        <f>+E13+E15</f>
        <v>254856.88</v>
      </c>
      <c r="F12" s="52">
        <f>+F13+F15</f>
        <v>210252.68</v>
      </c>
      <c r="G12" s="52">
        <f>+G13+G15</f>
        <v>259172.32</v>
      </c>
      <c r="H12" s="52">
        <f t="shared" ref="H12:U12" si="0">+H13+H14+H15</f>
        <v>222111.7</v>
      </c>
      <c r="I12" s="52">
        <f t="shared" si="0"/>
        <v>217966.71</v>
      </c>
      <c r="J12" s="52">
        <f t="shared" si="0"/>
        <v>218214.52000000002</v>
      </c>
      <c r="K12" s="52">
        <f t="shared" si="0"/>
        <v>202297.83000000002</v>
      </c>
      <c r="L12" s="52">
        <f t="shared" si="0"/>
        <v>216378.97999999998</v>
      </c>
      <c r="M12" s="52">
        <f t="shared" si="0"/>
        <v>199256.15999999997</v>
      </c>
      <c r="N12" s="52">
        <f t="shared" si="0"/>
        <v>210007.37</v>
      </c>
      <c r="O12" s="52">
        <f t="shared" si="0"/>
        <v>88234.09</v>
      </c>
      <c r="P12" s="52">
        <f t="shared" si="0"/>
        <v>86578.06</v>
      </c>
      <c r="Q12" s="52">
        <f t="shared" si="0"/>
        <v>111572.51000000001</v>
      </c>
      <c r="R12" s="52">
        <f t="shared" si="0"/>
        <v>112052.33</v>
      </c>
      <c r="S12" s="52">
        <f t="shared" si="0"/>
        <v>157201.77000000002</v>
      </c>
      <c r="T12" s="52">
        <f t="shared" si="0"/>
        <v>161848.14000000001</v>
      </c>
      <c r="U12" s="52">
        <f t="shared" si="0"/>
        <v>93566.34</v>
      </c>
      <c r="V12" s="53">
        <f>SUM(D12:U12)</f>
        <v>3277189.16</v>
      </c>
      <c r="W12" s="1"/>
    </row>
    <row r="13" spans="1:23" x14ac:dyDescent="0.25">
      <c r="A13" s="40">
        <v>8</v>
      </c>
      <c r="B13" s="6" t="s">
        <v>13</v>
      </c>
      <c r="C13" s="6" t="s">
        <v>39</v>
      </c>
      <c r="D13" s="54">
        <v>52721.77</v>
      </c>
      <c r="E13" s="54">
        <v>52738.879999999997</v>
      </c>
      <c r="F13" s="54">
        <v>40053.68</v>
      </c>
      <c r="G13" s="54">
        <v>50124.32</v>
      </c>
      <c r="H13" s="54">
        <f>51191.44+9360</f>
        <v>60551.44</v>
      </c>
      <c r="I13" s="54">
        <f>48310.44+10547.72</f>
        <v>58858.16</v>
      </c>
      <c r="J13" s="54">
        <f>48436.64+10510.3</f>
        <v>58946.94</v>
      </c>
      <c r="K13" s="54">
        <f>9360+45434.44</f>
        <v>54794.44</v>
      </c>
      <c r="L13" s="54">
        <f>10510.3+47903.52</f>
        <v>58413.819999999992</v>
      </c>
      <c r="M13" s="54">
        <f>9360+44548.6</f>
        <v>53908.6</v>
      </c>
      <c r="N13" s="54">
        <f>47664.72+9360</f>
        <v>57024.72</v>
      </c>
      <c r="O13" s="54">
        <f>19488.16+4316.61</f>
        <v>23804.77</v>
      </c>
      <c r="P13" s="54">
        <f>19206.72+4175</f>
        <v>23381.72</v>
      </c>
      <c r="Q13" s="54">
        <f>19215.16+9360</f>
        <v>28575.16</v>
      </c>
      <c r="R13" s="54">
        <f>9360+19353.8</f>
        <v>28713.8</v>
      </c>
      <c r="S13" s="54">
        <f>9360+33698.56</f>
        <v>43058.559999999998</v>
      </c>
      <c r="T13" s="54">
        <f>9360+33740.88</f>
        <v>43100.88</v>
      </c>
      <c r="U13" s="54">
        <f>9360+18732.48</f>
        <v>28092.48</v>
      </c>
      <c r="V13" s="53">
        <f>SUM(D13:U13)</f>
        <v>816864.14</v>
      </c>
    </row>
    <row r="14" spans="1:23" x14ac:dyDescent="0.25">
      <c r="A14" s="40">
        <v>9</v>
      </c>
      <c r="B14" s="6" t="s">
        <v>14</v>
      </c>
      <c r="C14" s="6" t="s">
        <v>39</v>
      </c>
      <c r="D14" s="54">
        <v>22000</v>
      </c>
      <c r="E14" s="54">
        <v>22000</v>
      </c>
      <c r="F14" s="54">
        <v>17000</v>
      </c>
      <c r="G14" s="54">
        <v>23000</v>
      </c>
      <c r="H14" s="54">
        <f>43760.08+22252.64</f>
        <v>66012.72</v>
      </c>
      <c r="I14" s="54">
        <f>41314+25075</f>
        <v>66389</v>
      </c>
      <c r="J14" s="54">
        <f>41420.6+24985.59</f>
        <v>66406.19</v>
      </c>
      <c r="K14" s="54">
        <f>38854.44+22252.64</f>
        <v>61107.08</v>
      </c>
      <c r="L14" s="54">
        <f>24985.59+40966.24</f>
        <v>65951.83</v>
      </c>
      <c r="M14" s="54">
        <f>38100.76+22252.64</f>
        <v>60353.4</v>
      </c>
      <c r="N14" s="54">
        <f>22252.64+40760.4</f>
        <v>63013.04</v>
      </c>
      <c r="O14" s="54">
        <f>16667.56+10261.65</f>
        <v>26929.21</v>
      </c>
      <c r="P14" s="54">
        <f>16426.8+9925</f>
        <v>26351.8</v>
      </c>
      <c r="Q14" s="54">
        <f>22252.64+16434.08</f>
        <v>38686.720000000001</v>
      </c>
      <c r="R14" s="54">
        <f>22252.64+16552.64</f>
        <v>38805.279999999999</v>
      </c>
      <c r="S14" s="54">
        <f>22252.64+28821.24</f>
        <v>51073.880000000005</v>
      </c>
      <c r="T14" s="54">
        <f>22252.64+28857.4</f>
        <v>51110.04</v>
      </c>
      <c r="U14" s="54">
        <f>22252.64+16021.2</f>
        <v>38273.839999999997</v>
      </c>
      <c r="V14" s="53">
        <f t="shared" ref="V14:V25" si="1">SUM(D14:U14)</f>
        <v>804464.03000000014</v>
      </c>
    </row>
    <row r="15" spans="1:23" x14ac:dyDescent="0.25">
      <c r="A15" s="40">
        <v>10</v>
      </c>
      <c r="B15" s="6" t="s">
        <v>15</v>
      </c>
      <c r="C15" s="6" t="s">
        <v>39</v>
      </c>
      <c r="D15" s="54">
        <v>202899</v>
      </c>
      <c r="E15" s="54">
        <v>202118</v>
      </c>
      <c r="F15" s="54">
        <v>170199</v>
      </c>
      <c r="G15" s="54">
        <v>209048</v>
      </c>
      <c r="H15" s="54">
        <f>82095.06+13452.48</f>
        <v>95547.54</v>
      </c>
      <c r="I15" s="54">
        <f>77561.15+15158.4</f>
        <v>92719.549999999988</v>
      </c>
      <c r="J15" s="54">
        <f>77756.75+15104.64</f>
        <v>92861.39</v>
      </c>
      <c r="K15" s="54">
        <f>72943.83+13452.48</f>
        <v>86396.31</v>
      </c>
      <c r="L15" s="54">
        <f>76908.69+15104.64</f>
        <v>92013.33</v>
      </c>
      <c r="M15" s="54">
        <f>71541.68+13452.48</f>
        <v>84994.159999999989</v>
      </c>
      <c r="N15" s="54">
        <f>76517.13+13452.48</f>
        <v>89969.61</v>
      </c>
      <c r="O15" s="54">
        <f>31296.59+6203.52</f>
        <v>37500.11</v>
      </c>
      <c r="P15" s="54">
        <f>30844.54+6000</f>
        <v>36844.54</v>
      </c>
      <c r="Q15" s="54">
        <f>13452.48+30858.15</f>
        <v>44310.630000000005</v>
      </c>
      <c r="R15" s="54">
        <f>13452.48+31080.77</f>
        <v>44533.25</v>
      </c>
      <c r="S15" s="54">
        <f>13452.48+49616.85</f>
        <v>63069.33</v>
      </c>
      <c r="T15" s="54">
        <f>13452.48+54184.74</f>
        <v>67637.22</v>
      </c>
      <c r="U15" s="54">
        <f>13452.48+13747.54</f>
        <v>27200.02</v>
      </c>
      <c r="V15" s="53">
        <f t="shared" si="1"/>
        <v>1739860.9900000005</v>
      </c>
    </row>
    <row r="16" spans="1:23" x14ac:dyDescent="0.25">
      <c r="A16" s="40">
        <v>11</v>
      </c>
      <c r="B16" s="9" t="s">
        <v>16</v>
      </c>
      <c r="C16" s="9" t="s">
        <v>39</v>
      </c>
      <c r="D16" s="55">
        <v>178858.42</v>
      </c>
      <c r="E16" s="55">
        <v>168829.23</v>
      </c>
      <c r="F16" s="55">
        <v>133049.98000000001</v>
      </c>
      <c r="G16" s="55">
        <v>133431.57999999999</v>
      </c>
      <c r="H16" s="55">
        <f t="shared" ref="H16:U16" si="2">+H17</f>
        <v>136331.51</v>
      </c>
      <c r="I16" s="55">
        <f t="shared" si="2"/>
        <v>103607.08</v>
      </c>
      <c r="J16" s="55">
        <f t="shared" si="2"/>
        <v>116029.87</v>
      </c>
      <c r="K16" s="55">
        <f t="shared" si="2"/>
        <v>112477.85</v>
      </c>
      <c r="L16" s="55">
        <f t="shared" si="2"/>
        <v>133612.71000000002</v>
      </c>
      <c r="M16" s="55">
        <f t="shared" si="2"/>
        <v>123589.25</v>
      </c>
      <c r="N16" s="55">
        <f t="shared" si="2"/>
        <v>137909.37</v>
      </c>
      <c r="O16" s="55">
        <f t="shared" si="2"/>
        <v>61841.43</v>
      </c>
      <c r="P16" s="55">
        <f t="shared" si="2"/>
        <v>59549.8</v>
      </c>
      <c r="Q16" s="55">
        <f t="shared" si="2"/>
        <v>78752.429999999993</v>
      </c>
      <c r="R16" s="55">
        <f t="shared" si="2"/>
        <v>73903.240000000005</v>
      </c>
      <c r="S16" s="55">
        <f t="shared" si="2"/>
        <v>87429.57</v>
      </c>
      <c r="T16" s="55">
        <f t="shared" si="2"/>
        <v>101472.48999999999</v>
      </c>
      <c r="U16" s="55">
        <f t="shared" si="2"/>
        <v>76352.38</v>
      </c>
      <c r="V16" s="53">
        <f t="shared" si="1"/>
        <v>2017028.19</v>
      </c>
      <c r="W16" s="1"/>
    </row>
    <row r="17" spans="1:23" x14ac:dyDescent="0.25">
      <c r="A17" s="40">
        <v>12</v>
      </c>
      <c r="B17" s="6" t="s">
        <v>17</v>
      </c>
      <c r="C17" s="6" t="s">
        <v>39</v>
      </c>
      <c r="D17" s="55">
        <v>178858.42</v>
      </c>
      <c r="E17" s="55">
        <v>168829.23</v>
      </c>
      <c r="F17" s="55">
        <v>133049.98000000001</v>
      </c>
      <c r="G17" s="55">
        <v>133431.57999999999</v>
      </c>
      <c r="H17" s="55">
        <f>79331.51+57000</f>
        <v>136331.51</v>
      </c>
      <c r="I17" s="55">
        <f>57000+46607.08</f>
        <v>103607.08</v>
      </c>
      <c r="J17" s="55">
        <f>57000+59029.87</f>
        <v>116029.87</v>
      </c>
      <c r="K17" s="55">
        <f>57000+55477.85</f>
        <v>112477.85</v>
      </c>
      <c r="L17" s="55">
        <f>57000+76612.71</f>
        <v>133612.71000000002</v>
      </c>
      <c r="M17" s="55">
        <f>57000+66589.25</f>
        <v>123589.25</v>
      </c>
      <c r="N17" s="55">
        <f>57000+80909.37</f>
        <v>137909.37</v>
      </c>
      <c r="O17" s="55">
        <f>37000+24841.43</f>
        <v>61841.43</v>
      </c>
      <c r="P17" s="55">
        <v>59549.8</v>
      </c>
      <c r="Q17" s="55">
        <f>57000+21752.43</f>
        <v>78752.429999999993</v>
      </c>
      <c r="R17" s="55">
        <f>57000+16903.24</f>
        <v>73903.240000000005</v>
      </c>
      <c r="S17" s="55">
        <f>57000+30429.57</f>
        <v>87429.57</v>
      </c>
      <c r="T17" s="55">
        <f>67000+34472.49</f>
        <v>101472.48999999999</v>
      </c>
      <c r="U17" s="55">
        <f>57000+19352.38</f>
        <v>76352.38</v>
      </c>
      <c r="V17" s="53">
        <f t="shared" si="1"/>
        <v>2017028.19</v>
      </c>
    </row>
    <row r="18" spans="1:23" x14ac:dyDescent="0.25">
      <c r="A18" s="40">
        <v>13</v>
      </c>
      <c r="B18" s="6" t="s">
        <v>18</v>
      </c>
      <c r="C18" s="6" t="s">
        <v>39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3">
        <f t="shared" si="1"/>
        <v>0</v>
      </c>
    </row>
    <row r="19" spans="1:23" x14ac:dyDescent="0.25">
      <c r="A19" s="40">
        <v>14</v>
      </c>
      <c r="B19" s="6" t="s">
        <v>19</v>
      </c>
      <c r="C19" s="6" t="s">
        <v>39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3">
        <f t="shared" si="1"/>
        <v>0</v>
      </c>
    </row>
    <row r="20" spans="1:23" x14ac:dyDescent="0.25">
      <c r="A20" s="40">
        <v>15</v>
      </c>
      <c r="B20" s="6" t="s">
        <v>20</v>
      </c>
      <c r="C20" s="6" t="s">
        <v>39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3">
        <f t="shared" si="1"/>
        <v>0</v>
      </c>
    </row>
    <row r="21" spans="1:23" x14ac:dyDescent="0.25">
      <c r="A21" s="40">
        <v>16</v>
      </c>
      <c r="B21" s="6" t="s">
        <v>21</v>
      </c>
      <c r="C21" s="6" t="s">
        <v>39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3">
        <f t="shared" si="1"/>
        <v>0</v>
      </c>
    </row>
    <row r="22" spans="1:23" x14ac:dyDescent="0.25">
      <c r="A22" s="40">
        <v>17</v>
      </c>
      <c r="B22" s="9" t="s">
        <v>22</v>
      </c>
      <c r="C22" s="9" t="s">
        <v>39</v>
      </c>
      <c r="D22" s="55">
        <f>+D17</f>
        <v>178858.42</v>
      </c>
      <c r="E22" s="55">
        <f t="shared" ref="E22:U22" si="3">+E17</f>
        <v>168829.23</v>
      </c>
      <c r="F22" s="55">
        <f t="shared" si="3"/>
        <v>133049.98000000001</v>
      </c>
      <c r="G22" s="55">
        <f t="shared" si="3"/>
        <v>133431.57999999999</v>
      </c>
      <c r="H22" s="55">
        <f t="shared" si="3"/>
        <v>136331.51</v>
      </c>
      <c r="I22" s="55">
        <f t="shared" si="3"/>
        <v>103607.08</v>
      </c>
      <c r="J22" s="55">
        <f t="shared" si="3"/>
        <v>116029.87</v>
      </c>
      <c r="K22" s="55">
        <f t="shared" si="3"/>
        <v>112477.85</v>
      </c>
      <c r="L22" s="55">
        <f t="shared" si="3"/>
        <v>133612.71000000002</v>
      </c>
      <c r="M22" s="55">
        <f t="shared" si="3"/>
        <v>123589.25</v>
      </c>
      <c r="N22" s="55">
        <f t="shared" si="3"/>
        <v>137909.37</v>
      </c>
      <c r="O22" s="55">
        <f t="shared" si="3"/>
        <v>61841.43</v>
      </c>
      <c r="P22" s="55">
        <f t="shared" si="3"/>
        <v>59549.8</v>
      </c>
      <c r="Q22" s="55">
        <f t="shared" si="3"/>
        <v>78752.429999999993</v>
      </c>
      <c r="R22" s="55">
        <f t="shared" si="3"/>
        <v>73903.240000000005</v>
      </c>
      <c r="S22" s="55">
        <f t="shared" si="3"/>
        <v>87429.57</v>
      </c>
      <c r="T22" s="55">
        <f t="shared" si="3"/>
        <v>101472.48999999999</v>
      </c>
      <c r="U22" s="55">
        <f t="shared" si="3"/>
        <v>76352.38</v>
      </c>
      <c r="V22" s="53">
        <f t="shared" si="1"/>
        <v>2017028.19</v>
      </c>
    </row>
    <row r="23" spans="1:23" x14ac:dyDescent="0.25">
      <c r="A23" s="40">
        <v>18</v>
      </c>
      <c r="B23" s="6" t="s">
        <v>23</v>
      </c>
      <c r="C23" s="6" t="s">
        <v>39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3">
        <f t="shared" si="1"/>
        <v>0</v>
      </c>
    </row>
    <row r="24" spans="1:23" x14ac:dyDescent="0.25">
      <c r="A24" s="40">
        <v>19</v>
      </c>
      <c r="B24" s="6" t="s">
        <v>24</v>
      </c>
      <c r="C24" s="6" t="s">
        <v>39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3">
        <f t="shared" si="1"/>
        <v>0</v>
      </c>
    </row>
    <row r="25" spans="1:23" x14ac:dyDescent="0.25">
      <c r="A25" s="40">
        <v>20</v>
      </c>
      <c r="B25" s="9" t="s">
        <v>25</v>
      </c>
      <c r="C25" s="9" t="s">
        <v>39</v>
      </c>
      <c r="D25" s="55">
        <f>+D12-D22</f>
        <v>76762.349999999977</v>
      </c>
      <c r="E25" s="55">
        <f t="shared" ref="E25:U25" si="4">+E12-E22</f>
        <v>86027.65</v>
      </c>
      <c r="F25" s="55">
        <f t="shared" si="4"/>
        <v>77202.699999999983</v>
      </c>
      <c r="G25" s="55">
        <f t="shared" si="4"/>
        <v>125740.74000000002</v>
      </c>
      <c r="H25" s="55">
        <f t="shared" si="4"/>
        <v>85780.19</v>
      </c>
      <c r="I25" s="55">
        <f t="shared" si="4"/>
        <v>114359.62999999999</v>
      </c>
      <c r="J25" s="55">
        <f t="shared" si="4"/>
        <v>102184.65000000002</v>
      </c>
      <c r="K25" s="55">
        <f t="shared" si="4"/>
        <v>89819.98000000001</v>
      </c>
      <c r="L25" s="55">
        <f t="shared" si="4"/>
        <v>82766.26999999996</v>
      </c>
      <c r="M25" s="55">
        <f t="shared" si="4"/>
        <v>75666.909999999974</v>
      </c>
      <c r="N25" s="55">
        <f t="shared" si="4"/>
        <v>72098</v>
      </c>
      <c r="O25" s="55">
        <f t="shared" si="4"/>
        <v>26392.659999999996</v>
      </c>
      <c r="P25" s="55">
        <f t="shared" si="4"/>
        <v>27028.259999999995</v>
      </c>
      <c r="Q25" s="55">
        <f t="shared" si="4"/>
        <v>32820.080000000016</v>
      </c>
      <c r="R25" s="55">
        <f t="shared" si="4"/>
        <v>38149.089999999997</v>
      </c>
      <c r="S25" s="55">
        <f t="shared" si="4"/>
        <v>69772.200000000012</v>
      </c>
      <c r="T25" s="55">
        <f t="shared" si="4"/>
        <v>60375.650000000023</v>
      </c>
      <c r="U25" s="55">
        <f t="shared" si="4"/>
        <v>17213.959999999992</v>
      </c>
      <c r="V25" s="53">
        <f t="shared" si="1"/>
        <v>1260160.9699999997</v>
      </c>
      <c r="W25" s="1"/>
    </row>
    <row r="26" spans="1:23" ht="30.75" customHeight="1" x14ac:dyDescent="0.25">
      <c r="A26" s="42" t="s">
        <v>26</v>
      </c>
      <c r="B26" s="37" t="s">
        <v>26</v>
      </c>
      <c r="C26" s="37"/>
      <c r="D26" s="3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9"/>
      <c r="W26" s="1"/>
    </row>
    <row r="27" spans="1:23" ht="32.25" customHeight="1" x14ac:dyDescent="0.25">
      <c r="A27" s="40">
        <v>21</v>
      </c>
      <c r="B27" s="15" t="s">
        <v>27</v>
      </c>
      <c r="C27" s="16" t="s">
        <v>4</v>
      </c>
      <c r="D27" s="13" t="s">
        <v>103</v>
      </c>
      <c r="E27" s="13" t="s">
        <v>103</v>
      </c>
      <c r="F27" s="13" t="s">
        <v>103</v>
      </c>
      <c r="G27" s="13" t="s">
        <v>103</v>
      </c>
      <c r="H27" s="13" t="s">
        <v>103</v>
      </c>
      <c r="I27" s="13" t="s">
        <v>103</v>
      </c>
      <c r="J27" s="13" t="s">
        <v>103</v>
      </c>
      <c r="K27" s="13" t="s">
        <v>103</v>
      </c>
      <c r="L27" s="13" t="s">
        <v>103</v>
      </c>
      <c r="M27" s="13" t="s">
        <v>103</v>
      </c>
      <c r="N27" s="13" t="s">
        <v>103</v>
      </c>
      <c r="O27" s="13" t="s">
        <v>103</v>
      </c>
      <c r="P27" s="13" t="s">
        <v>103</v>
      </c>
      <c r="Q27" s="13" t="s">
        <v>103</v>
      </c>
      <c r="R27" s="13" t="s">
        <v>103</v>
      </c>
      <c r="S27" s="13" t="s">
        <v>103</v>
      </c>
      <c r="T27" s="13" t="s">
        <v>103</v>
      </c>
      <c r="U27" s="13" t="s">
        <v>103</v>
      </c>
      <c r="V27" s="39"/>
    </row>
    <row r="28" spans="1:23" ht="15.75" x14ac:dyDescent="0.25">
      <c r="A28" s="40">
        <v>22</v>
      </c>
      <c r="B28" s="7" t="s">
        <v>28</v>
      </c>
      <c r="C28" s="6" t="s">
        <v>39</v>
      </c>
      <c r="D28" s="33">
        <f>+D13</f>
        <v>52721.77</v>
      </c>
      <c r="E28" s="33">
        <f t="shared" ref="E28:U28" si="5">+E13</f>
        <v>52738.879999999997</v>
      </c>
      <c r="F28" s="33">
        <f t="shared" si="5"/>
        <v>40053.68</v>
      </c>
      <c r="G28" s="33">
        <f t="shared" si="5"/>
        <v>50124.32</v>
      </c>
      <c r="H28" s="33">
        <f t="shared" si="5"/>
        <v>60551.44</v>
      </c>
      <c r="I28" s="33">
        <f t="shared" si="5"/>
        <v>58858.16</v>
      </c>
      <c r="J28" s="33">
        <f t="shared" si="5"/>
        <v>58946.94</v>
      </c>
      <c r="K28" s="33">
        <f t="shared" si="5"/>
        <v>54794.44</v>
      </c>
      <c r="L28" s="33">
        <f t="shared" si="5"/>
        <v>58413.819999999992</v>
      </c>
      <c r="M28" s="33">
        <f t="shared" si="5"/>
        <v>53908.6</v>
      </c>
      <c r="N28" s="33">
        <f t="shared" si="5"/>
        <v>57024.72</v>
      </c>
      <c r="O28" s="33">
        <f t="shared" si="5"/>
        <v>23804.77</v>
      </c>
      <c r="P28" s="33">
        <f t="shared" si="5"/>
        <v>23381.72</v>
      </c>
      <c r="Q28" s="33">
        <f t="shared" si="5"/>
        <v>28575.16</v>
      </c>
      <c r="R28" s="33">
        <f t="shared" si="5"/>
        <v>28713.8</v>
      </c>
      <c r="S28" s="33">
        <f t="shared" si="5"/>
        <v>43058.559999999998</v>
      </c>
      <c r="T28" s="33">
        <f t="shared" si="5"/>
        <v>43100.88</v>
      </c>
      <c r="U28" s="33">
        <f t="shared" si="5"/>
        <v>28092.48</v>
      </c>
      <c r="V28" s="39"/>
    </row>
    <row r="29" spans="1:23" ht="15.75" x14ac:dyDescent="0.25">
      <c r="A29" s="40">
        <v>23</v>
      </c>
      <c r="B29" s="7" t="s">
        <v>29</v>
      </c>
      <c r="C29" s="6" t="s">
        <v>4</v>
      </c>
      <c r="D29" s="10"/>
      <c r="E29" s="10" t="s">
        <v>116</v>
      </c>
      <c r="F29" s="10" t="s">
        <v>116</v>
      </c>
      <c r="G29" s="10" t="s">
        <v>116</v>
      </c>
      <c r="H29" s="10" t="s">
        <v>116</v>
      </c>
      <c r="I29" s="10" t="s">
        <v>116</v>
      </c>
      <c r="J29" s="10" t="s">
        <v>116</v>
      </c>
      <c r="K29" s="10" t="s">
        <v>116</v>
      </c>
      <c r="L29" s="10" t="s">
        <v>116</v>
      </c>
      <c r="M29" s="10" t="s">
        <v>116</v>
      </c>
      <c r="N29" s="10" t="s">
        <v>116</v>
      </c>
      <c r="O29" s="10" t="s">
        <v>116</v>
      </c>
      <c r="P29" s="10" t="s">
        <v>116</v>
      </c>
      <c r="Q29" s="10" t="s">
        <v>116</v>
      </c>
      <c r="R29" s="10" t="s">
        <v>116</v>
      </c>
      <c r="S29" s="10" t="s">
        <v>116</v>
      </c>
      <c r="T29" s="10" t="s">
        <v>116</v>
      </c>
      <c r="U29" s="10" t="s">
        <v>116</v>
      </c>
      <c r="V29" s="39"/>
    </row>
    <row r="30" spans="1:23" ht="15.75" x14ac:dyDescent="0.25">
      <c r="A30" s="40">
        <v>24</v>
      </c>
      <c r="B30" s="7" t="s">
        <v>30</v>
      </c>
      <c r="C30" s="6" t="s">
        <v>4</v>
      </c>
      <c r="D30" s="10"/>
      <c r="E30" s="10" t="s">
        <v>116</v>
      </c>
      <c r="F30" s="10" t="s">
        <v>116</v>
      </c>
      <c r="G30" s="10" t="s">
        <v>116</v>
      </c>
      <c r="H30" s="10" t="s">
        <v>116</v>
      </c>
      <c r="I30" s="10" t="s">
        <v>116</v>
      </c>
      <c r="J30" s="10" t="s">
        <v>116</v>
      </c>
      <c r="K30" s="10" t="s">
        <v>116</v>
      </c>
      <c r="L30" s="10" t="s">
        <v>116</v>
      </c>
      <c r="M30" s="10" t="s">
        <v>116</v>
      </c>
      <c r="N30" s="10" t="s">
        <v>116</v>
      </c>
      <c r="O30" s="10" t="s">
        <v>116</v>
      </c>
      <c r="P30" s="10" t="s">
        <v>116</v>
      </c>
      <c r="Q30" s="10" t="s">
        <v>116</v>
      </c>
      <c r="R30" s="10" t="s">
        <v>116</v>
      </c>
      <c r="S30" s="10" t="s">
        <v>116</v>
      </c>
      <c r="T30" s="10" t="s">
        <v>116</v>
      </c>
      <c r="U30" s="10" t="s">
        <v>116</v>
      </c>
      <c r="V30" s="39"/>
    </row>
    <row r="31" spans="1:23" x14ac:dyDescent="0.25">
      <c r="A31" s="40">
        <v>25</v>
      </c>
      <c r="B31" s="6" t="s">
        <v>31</v>
      </c>
      <c r="C31" s="6" t="s">
        <v>4</v>
      </c>
      <c r="D31" s="10" t="s">
        <v>105</v>
      </c>
      <c r="E31" s="10" t="s">
        <v>105</v>
      </c>
      <c r="F31" s="10" t="s">
        <v>105</v>
      </c>
      <c r="G31" s="10" t="s">
        <v>105</v>
      </c>
      <c r="H31" s="10" t="s">
        <v>105</v>
      </c>
      <c r="I31" s="10" t="s">
        <v>105</v>
      </c>
      <c r="J31" s="10" t="s">
        <v>105</v>
      </c>
      <c r="K31" s="10" t="s">
        <v>105</v>
      </c>
      <c r="L31" s="10" t="s">
        <v>105</v>
      </c>
      <c r="M31" s="10" t="s">
        <v>105</v>
      </c>
      <c r="N31" s="10" t="s">
        <v>105</v>
      </c>
      <c r="O31" s="10" t="s">
        <v>105</v>
      </c>
      <c r="P31" s="10" t="s">
        <v>105</v>
      </c>
      <c r="Q31" s="10" t="s">
        <v>105</v>
      </c>
      <c r="R31" s="10" t="s">
        <v>105</v>
      </c>
      <c r="S31" s="10" t="s">
        <v>105</v>
      </c>
      <c r="T31" s="10" t="s">
        <v>105</v>
      </c>
      <c r="U31" s="10" t="s">
        <v>105</v>
      </c>
      <c r="V31" s="39"/>
    </row>
    <row r="32" spans="1:23" x14ac:dyDescent="0.25">
      <c r="A32" s="40">
        <v>26</v>
      </c>
      <c r="B32" s="6" t="s">
        <v>32</v>
      </c>
      <c r="C32" s="6" t="s">
        <v>39</v>
      </c>
      <c r="D32" s="11">
        <f>D28/D3/9</f>
        <v>4.7517638257985437</v>
      </c>
      <c r="E32" s="11">
        <f t="shared" ref="E32:G32" si="6">E28/E3/9</f>
        <v>4.1874200053991384</v>
      </c>
      <c r="F32" s="11">
        <f t="shared" si="6"/>
        <v>3.929720873191072</v>
      </c>
      <c r="G32" s="11">
        <f t="shared" si="6"/>
        <v>3.9744300926917071</v>
      </c>
      <c r="H32" s="11">
        <f t="shared" ref="H32:U32" si="7">H28/H3</f>
        <v>43.210904160422466</v>
      </c>
      <c r="I32" s="11">
        <f t="shared" si="7"/>
        <v>37.275592146928439</v>
      </c>
      <c r="J32" s="11">
        <f t="shared" si="7"/>
        <v>37.464687936951826</v>
      </c>
      <c r="K32" s="11">
        <f t="shared" si="7"/>
        <v>39.102576179262115</v>
      </c>
      <c r="L32" s="11">
        <f t="shared" si="7"/>
        <v>37.151828531450739</v>
      </c>
      <c r="M32" s="11">
        <f t="shared" si="7"/>
        <v>38.470420323984868</v>
      </c>
      <c r="N32" s="11">
        <f t="shared" si="7"/>
        <v>40.694155427103404</v>
      </c>
      <c r="O32" s="11">
        <f t="shared" si="7"/>
        <v>36.838084184463014</v>
      </c>
      <c r="P32" s="11">
        <f t="shared" si="7"/>
        <v>37.410752000000002</v>
      </c>
      <c r="Q32" s="11">
        <f t="shared" si="7"/>
        <v>20.391893241989582</v>
      </c>
      <c r="R32" s="11">
        <f t="shared" si="7"/>
        <v>20.49082994362378</v>
      </c>
      <c r="S32" s="11">
        <f t="shared" si="7"/>
        <v>30.727581531435096</v>
      </c>
      <c r="T32" s="11">
        <f t="shared" si="7"/>
        <v>30.757782059516163</v>
      </c>
      <c r="U32" s="11">
        <f t="shared" si="7"/>
        <v>20.047441661314494</v>
      </c>
      <c r="V32" s="39"/>
    </row>
    <row r="33" spans="1:22" ht="30" x14ac:dyDescent="0.25">
      <c r="A33" s="40">
        <v>21</v>
      </c>
      <c r="B33" s="15" t="s">
        <v>27</v>
      </c>
      <c r="C33" s="6" t="s">
        <v>4</v>
      </c>
      <c r="D33" s="12" t="s">
        <v>104</v>
      </c>
      <c r="E33" s="12" t="s">
        <v>104</v>
      </c>
      <c r="F33" s="12" t="s">
        <v>104</v>
      </c>
      <c r="G33" s="12" t="s">
        <v>104</v>
      </c>
      <c r="H33" s="12" t="s">
        <v>104</v>
      </c>
      <c r="I33" s="12" t="s">
        <v>104</v>
      </c>
      <c r="J33" s="12" t="s">
        <v>104</v>
      </c>
      <c r="K33" s="12" t="s">
        <v>104</v>
      </c>
      <c r="L33" s="12" t="s">
        <v>104</v>
      </c>
      <c r="M33" s="12" t="s">
        <v>104</v>
      </c>
      <c r="N33" s="12" t="s">
        <v>104</v>
      </c>
      <c r="O33" s="12" t="s">
        <v>104</v>
      </c>
      <c r="P33" s="12" t="s">
        <v>104</v>
      </c>
      <c r="Q33" s="12" t="s">
        <v>104</v>
      </c>
      <c r="R33" s="12" t="s">
        <v>104</v>
      </c>
      <c r="S33" s="12" t="s">
        <v>104</v>
      </c>
      <c r="T33" s="12" t="s">
        <v>104</v>
      </c>
      <c r="U33" s="12" t="s">
        <v>104</v>
      </c>
      <c r="V33" s="39"/>
    </row>
    <row r="34" spans="1:22" ht="15.75" x14ac:dyDescent="0.25">
      <c r="A34" s="40">
        <v>22</v>
      </c>
      <c r="B34" s="7" t="s">
        <v>28</v>
      </c>
      <c r="C34" s="6" t="s">
        <v>39</v>
      </c>
      <c r="D34" s="33">
        <f>+D14</f>
        <v>22000</v>
      </c>
      <c r="E34" s="33">
        <f t="shared" ref="E34:U34" si="8">+E14</f>
        <v>22000</v>
      </c>
      <c r="F34" s="33">
        <f t="shared" si="8"/>
        <v>17000</v>
      </c>
      <c r="G34" s="33">
        <f t="shared" si="8"/>
        <v>23000</v>
      </c>
      <c r="H34" s="33">
        <f t="shared" si="8"/>
        <v>66012.72</v>
      </c>
      <c r="I34" s="33">
        <f t="shared" si="8"/>
        <v>66389</v>
      </c>
      <c r="J34" s="33">
        <f t="shared" si="8"/>
        <v>66406.19</v>
      </c>
      <c r="K34" s="33">
        <f t="shared" si="8"/>
        <v>61107.08</v>
      </c>
      <c r="L34" s="33">
        <f t="shared" si="8"/>
        <v>65951.83</v>
      </c>
      <c r="M34" s="33">
        <f t="shared" si="8"/>
        <v>60353.4</v>
      </c>
      <c r="N34" s="33">
        <f t="shared" si="8"/>
        <v>63013.04</v>
      </c>
      <c r="O34" s="33">
        <f t="shared" si="8"/>
        <v>26929.21</v>
      </c>
      <c r="P34" s="33">
        <f t="shared" si="8"/>
        <v>26351.8</v>
      </c>
      <c r="Q34" s="33">
        <f t="shared" si="8"/>
        <v>38686.720000000001</v>
      </c>
      <c r="R34" s="33">
        <f t="shared" si="8"/>
        <v>38805.279999999999</v>
      </c>
      <c r="S34" s="33">
        <f t="shared" si="8"/>
        <v>51073.880000000005</v>
      </c>
      <c r="T34" s="33">
        <f t="shared" si="8"/>
        <v>51110.04</v>
      </c>
      <c r="U34" s="33">
        <f t="shared" si="8"/>
        <v>38273.839999999997</v>
      </c>
      <c r="V34" s="39"/>
    </row>
    <row r="35" spans="1:22" ht="15.75" x14ac:dyDescent="0.25">
      <c r="A35" s="40">
        <v>23</v>
      </c>
      <c r="B35" s="7" t="s">
        <v>29</v>
      </c>
      <c r="C35" s="6" t="s">
        <v>4</v>
      </c>
      <c r="D35" s="10" t="s">
        <v>116</v>
      </c>
      <c r="E35" s="10" t="s">
        <v>116</v>
      </c>
      <c r="F35" s="10" t="s">
        <v>116</v>
      </c>
      <c r="G35" s="10" t="s">
        <v>116</v>
      </c>
      <c r="H35" s="10" t="s">
        <v>116</v>
      </c>
      <c r="I35" s="10" t="s">
        <v>116</v>
      </c>
      <c r="J35" s="10" t="s">
        <v>116</v>
      </c>
      <c r="K35" s="10" t="s">
        <v>116</v>
      </c>
      <c r="L35" s="10" t="s">
        <v>116</v>
      </c>
      <c r="M35" s="10" t="s">
        <v>116</v>
      </c>
      <c r="N35" s="10" t="s">
        <v>116</v>
      </c>
      <c r="O35" s="10" t="s">
        <v>116</v>
      </c>
      <c r="P35" s="10" t="s">
        <v>116</v>
      </c>
      <c r="Q35" s="10" t="s">
        <v>116</v>
      </c>
      <c r="R35" s="10" t="s">
        <v>116</v>
      </c>
      <c r="S35" s="10" t="s">
        <v>116</v>
      </c>
      <c r="T35" s="10" t="s">
        <v>116</v>
      </c>
      <c r="U35" s="10" t="s">
        <v>116</v>
      </c>
      <c r="V35" s="39"/>
    </row>
    <row r="36" spans="1:22" ht="15.75" x14ac:dyDescent="0.25">
      <c r="A36" s="40">
        <v>24</v>
      </c>
      <c r="B36" s="7" t="s">
        <v>30</v>
      </c>
      <c r="C36" s="6" t="s">
        <v>4</v>
      </c>
      <c r="D36" s="10" t="s">
        <v>116</v>
      </c>
      <c r="E36" s="10" t="s">
        <v>116</v>
      </c>
      <c r="F36" s="10" t="s">
        <v>116</v>
      </c>
      <c r="G36" s="10" t="s">
        <v>116</v>
      </c>
      <c r="H36" s="10" t="s">
        <v>116</v>
      </c>
      <c r="I36" s="10" t="s">
        <v>116</v>
      </c>
      <c r="J36" s="10" t="s">
        <v>116</v>
      </c>
      <c r="K36" s="10" t="s">
        <v>116</v>
      </c>
      <c r="L36" s="10" t="s">
        <v>116</v>
      </c>
      <c r="M36" s="10" t="s">
        <v>116</v>
      </c>
      <c r="N36" s="10" t="s">
        <v>116</v>
      </c>
      <c r="O36" s="10" t="s">
        <v>116</v>
      </c>
      <c r="P36" s="10" t="s">
        <v>116</v>
      </c>
      <c r="Q36" s="10" t="s">
        <v>116</v>
      </c>
      <c r="R36" s="10" t="s">
        <v>116</v>
      </c>
      <c r="S36" s="10" t="s">
        <v>116</v>
      </c>
      <c r="T36" s="10" t="s">
        <v>116</v>
      </c>
      <c r="U36" s="10" t="s">
        <v>116</v>
      </c>
      <c r="V36" s="39"/>
    </row>
    <row r="37" spans="1:22" x14ac:dyDescent="0.25">
      <c r="A37" s="40">
        <v>25</v>
      </c>
      <c r="B37" s="6" t="s">
        <v>31</v>
      </c>
      <c r="C37" s="6" t="s">
        <v>4</v>
      </c>
      <c r="D37" s="10" t="s">
        <v>105</v>
      </c>
      <c r="E37" s="10" t="s">
        <v>105</v>
      </c>
      <c r="F37" s="10" t="s">
        <v>105</v>
      </c>
      <c r="G37" s="10" t="s">
        <v>105</v>
      </c>
      <c r="H37" s="10" t="s">
        <v>105</v>
      </c>
      <c r="I37" s="10" t="s">
        <v>105</v>
      </c>
      <c r="J37" s="10" t="s">
        <v>105</v>
      </c>
      <c r="K37" s="10" t="s">
        <v>105</v>
      </c>
      <c r="L37" s="10" t="s">
        <v>105</v>
      </c>
      <c r="M37" s="10" t="s">
        <v>105</v>
      </c>
      <c r="N37" s="10" t="s">
        <v>105</v>
      </c>
      <c r="O37" s="10" t="s">
        <v>105</v>
      </c>
      <c r="P37" s="10" t="s">
        <v>105</v>
      </c>
      <c r="Q37" s="10" t="s">
        <v>105</v>
      </c>
      <c r="R37" s="10" t="s">
        <v>105</v>
      </c>
      <c r="S37" s="10" t="s">
        <v>105</v>
      </c>
      <c r="T37" s="10" t="s">
        <v>105</v>
      </c>
      <c r="U37" s="10" t="s">
        <v>105</v>
      </c>
      <c r="V37" s="39"/>
    </row>
    <row r="38" spans="1:22" x14ac:dyDescent="0.25">
      <c r="A38" s="40">
        <v>26</v>
      </c>
      <c r="B38" s="6" t="s">
        <v>32</v>
      </c>
      <c r="C38" s="6" t="s">
        <v>39</v>
      </c>
      <c r="D38" s="11">
        <f>D34/D3/9</f>
        <v>1.9828394260581155</v>
      </c>
      <c r="E38" s="11">
        <f t="shared" ref="E38:G38" si="9">E34/E3/9</f>
        <v>1.7467803661886838</v>
      </c>
      <c r="F38" s="11">
        <f t="shared" si="9"/>
        <v>1.6678930586215355</v>
      </c>
      <c r="G38" s="11">
        <f t="shared" si="9"/>
        <v>1.8237033865378973</v>
      </c>
      <c r="H38" s="11">
        <f t="shared" ref="H38:U38" si="10">H34/H3</f>
        <v>47.108199529008779</v>
      </c>
      <c r="I38" s="11">
        <f t="shared" si="10"/>
        <v>42.044965167827741</v>
      </c>
      <c r="J38" s="11">
        <f t="shared" si="10"/>
        <v>42.2055357823821</v>
      </c>
      <c r="K38" s="11">
        <f t="shared" si="10"/>
        <v>43.607421679868693</v>
      </c>
      <c r="L38" s="11">
        <f t="shared" si="10"/>
        <v>41.946085352668071</v>
      </c>
      <c r="M38" s="11">
        <f t="shared" si="10"/>
        <v>43.069578248769005</v>
      </c>
      <c r="N38" s="11">
        <f t="shared" si="10"/>
        <v>44.96755869549704</v>
      </c>
      <c r="O38" s="11">
        <f t="shared" si="10"/>
        <v>41.673181677499223</v>
      </c>
      <c r="P38" s="11">
        <f t="shared" si="10"/>
        <v>42.162880000000001</v>
      </c>
      <c r="Q38" s="11">
        <f t="shared" si="10"/>
        <v>27.607735674016986</v>
      </c>
      <c r="R38" s="11">
        <f t="shared" si="10"/>
        <v>27.69234282452009</v>
      </c>
      <c r="S38" s="11">
        <f t="shared" si="10"/>
        <v>36.447498751159642</v>
      </c>
      <c r="T38" s="11">
        <f t="shared" si="10"/>
        <v>36.473303361164632</v>
      </c>
      <c r="U38" s="11">
        <f t="shared" si="10"/>
        <v>27.313094983229856</v>
      </c>
      <c r="V38" s="39"/>
    </row>
    <row r="39" spans="1:22" ht="30" x14ac:dyDescent="0.25">
      <c r="A39" s="40">
        <v>21</v>
      </c>
      <c r="B39" s="15" t="s">
        <v>27</v>
      </c>
      <c r="C39" s="6" t="s">
        <v>4</v>
      </c>
      <c r="D39" s="12" t="s">
        <v>107</v>
      </c>
      <c r="E39" s="12" t="s">
        <v>107</v>
      </c>
      <c r="F39" s="12" t="s">
        <v>107</v>
      </c>
      <c r="G39" s="12" t="s">
        <v>107</v>
      </c>
      <c r="H39" s="12" t="s">
        <v>107</v>
      </c>
      <c r="I39" s="12" t="s">
        <v>107</v>
      </c>
      <c r="J39" s="12" t="s">
        <v>107</v>
      </c>
      <c r="K39" s="12" t="s">
        <v>107</v>
      </c>
      <c r="L39" s="12" t="s">
        <v>107</v>
      </c>
      <c r="M39" s="12" t="s">
        <v>107</v>
      </c>
      <c r="N39" s="12" t="s">
        <v>107</v>
      </c>
      <c r="O39" s="12" t="s">
        <v>107</v>
      </c>
      <c r="P39" s="12" t="s">
        <v>107</v>
      </c>
      <c r="Q39" s="12" t="s">
        <v>107</v>
      </c>
      <c r="R39" s="12" t="s">
        <v>107</v>
      </c>
      <c r="S39" s="12" t="s">
        <v>107</v>
      </c>
      <c r="T39" s="12" t="s">
        <v>107</v>
      </c>
      <c r="U39" s="12" t="s">
        <v>107</v>
      </c>
      <c r="V39" s="39"/>
    </row>
    <row r="40" spans="1:22" ht="15.75" x14ac:dyDescent="0.25">
      <c r="A40" s="40">
        <v>22</v>
      </c>
      <c r="B40" s="7" t="s">
        <v>28</v>
      </c>
      <c r="C40" s="6" t="s">
        <v>39</v>
      </c>
      <c r="D40" s="11">
        <f>+D3*5.79*9</f>
        <v>64241.207999999991</v>
      </c>
      <c r="E40" s="11">
        <f t="shared" ref="E40:G40" si="11">+E3*5.79*9</f>
        <v>72922.734000000011</v>
      </c>
      <c r="F40" s="11">
        <f t="shared" si="11"/>
        <v>59014.575000000004</v>
      </c>
      <c r="G40" s="11">
        <f t="shared" si="11"/>
        <v>73021.743000000002</v>
      </c>
      <c r="H40" s="11">
        <f>+H3*5.94*4</f>
        <v>33294.887999999999</v>
      </c>
      <c r="I40" s="11">
        <f t="shared" ref="I40:U40" si="12">+I3*5.94*4</f>
        <v>37517.040000000001</v>
      </c>
      <c r="J40" s="11">
        <f t="shared" si="12"/>
        <v>37383.984000000004</v>
      </c>
      <c r="K40" s="11">
        <f t="shared" si="12"/>
        <v>33294.887999999999</v>
      </c>
      <c r="L40" s="11">
        <f t="shared" si="12"/>
        <v>37357.847999999998</v>
      </c>
      <c r="M40" s="11">
        <f t="shared" si="12"/>
        <v>33294.887999999999</v>
      </c>
      <c r="N40" s="11">
        <f t="shared" si="12"/>
        <v>33294.887999999999</v>
      </c>
      <c r="O40" s="11">
        <f t="shared" si="12"/>
        <v>15353.712000000001</v>
      </c>
      <c r="P40" s="11">
        <f t="shared" si="12"/>
        <v>14850.000000000002</v>
      </c>
      <c r="Q40" s="11">
        <f t="shared" si="12"/>
        <v>33294.887999999999</v>
      </c>
      <c r="R40" s="11">
        <f t="shared" si="12"/>
        <v>33294.887999999999</v>
      </c>
      <c r="S40" s="11">
        <f t="shared" si="12"/>
        <v>33294.887999999999</v>
      </c>
      <c r="T40" s="11">
        <f t="shared" si="12"/>
        <v>33294.887999999999</v>
      </c>
      <c r="U40" s="11">
        <f t="shared" si="12"/>
        <v>33294.887999999999</v>
      </c>
      <c r="V40" s="39"/>
    </row>
    <row r="41" spans="1:22" ht="15.75" x14ac:dyDescent="0.25">
      <c r="A41" s="40">
        <v>23</v>
      </c>
      <c r="B41" s="7" t="s">
        <v>29</v>
      </c>
      <c r="C41" s="6" t="s">
        <v>4</v>
      </c>
      <c r="D41" s="10" t="s">
        <v>116</v>
      </c>
      <c r="E41" s="10" t="s">
        <v>116</v>
      </c>
      <c r="F41" s="10" t="s">
        <v>116</v>
      </c>
      <c r="G41" s="10" t="s">
        <v>116</v>
      </c>
      <c r="H41" s="10" t="s">
        <v>116</v>
      </c>
      <c r="I41" s="10" t="s">
        <v>116</v>
      </c>
      <c r="J41" s="10" t="s">
        <v>116</v>
      </c>
      <c r="K41" s="10" t="s">
        <v>116</v>
      </c>
      <c r="L41" s="10" t="s">
        <v>116</v>
      </c>
      <c r="M41" s="10" t="s">
        <v>116</v>
      </c>
      <c r="N41" s="10" t="s">
        <v>116</v>
      </c>
      <c r="O41" s="10" t="s">
        <v>116</v>
      </c>
      <c r="P41" s="10" t="s">
        <v>116</v>
      </c>
      <c r="Q41" s="10" t="s">
        <v>116</v>
      </c>
      <c r="R41" s="10" t="s">
        <v>116</v>
      </c>
      <c r="S41" s="10" t="s">
        <v>116</v>
      </c>
      <c r="T41" s="10" t="s">
        <v>116</v>
      </c>
      <c r="U41" s="10" t="s">
        <v>116</v>
      </c>
      <c r="V41" s="39"/>
    </row>
    <row r="42" spans="1:22" ht="15.75" x14ac:dyDescent="0.25">
      <c r="A42" s="40">
        <v>24</v>
      </c>
      <c r="B42" s="7" t="s">
        <v>30</v>
      </c>
      <c r="C42" s="6" t="s">
        <v>4</v>
      </c>
      <c r="D42" s="10" t="s">
        <v>116</v>
      </c>
      <c r="E42" s="10" t="s">
        <v>116</v>
      </c>
      <c r="F42" s="10" t="s">
        <v>116</v>
      </c>
      <c r="G42" s="10" t="s">
        <v>116</v>
      </c>
      <c r="H42" s="10" t="s">
        <v>116</v>
      </c>
      <c r="I42" s="10" t="s">
        <v>116</v>
      </c>
      <c r="J42" s="10" t="s">
        <v>116</v>
      </c>
      <c r="K42" s="10" t="s">
        <v>116</v>
      </c>
      <c r="L42" s="10" t="s">
        <v>116</v>
      </c>
      <c r="M42" s="10" t="s">
        <v>116</v>
      </c>
      <c r="N42" s="10" t="s">
        <v>116</v>
      </c>
      <c r="O42" s="10" t="s">
        <v>116</v>
      </c>
      <c r="P42" s="10" t="s">
        <v>116</v>
      </c>
      <c r="Q42" s="10" t="s">
        <v>116</v>
      </c>
      <c r="R42" s="10" t="s">
        <v>116</v>
      </c>
      <c r="S42" s="10" t="s">
        <v>116</v>
      </c>
      <c r="T42" s="10" t="s">
        <v>116</v>
      </c>
      <c r="U42" s="10" t="s">
        <v>116</v>
      </c>
      <c r="V42" s="39"/>
    </row>
    <row r="43" spans="1:22" x14ac:dyDescent="0.25">
      <c r="A43" s="40">
        <v>25</v>
      </c>
      <c r="B43" s="6" t="s">
        <v>31</v>
      </c>
      <c r="C43" s="6" t="s">
        <v>4</v>
      </c>
      <c r="D43" s="10" t="s">
        <v>105</v>
      </c>
      <c r="E43" s="10" t="s">
        <v>105</v>
      </c>
      <c r="F43" s="10" t="s">
        <v>105</v>
      </c>
      <c r="G43" s="10" t="s">
        <v>105</v>
      </c>
      <c r="H43" s="10" t="s">
        <v>105</v>
      </c>
      <c r="I43" s="10" t="s">
        <v>105</v>
      </c>
      <c r="J43" s="10" t="s">
        <v>105</v>
      </c>
      <c r="K43" s="10" t="s">
        <v>105</v>
      </c>
      <c r="L43" s="10" t="s">
        <v>105</v>
      </c>
      <c r="M43" s="10" t="s">
        <v>105</v>
      </c>
      <c r="N43" s="10" t="s">
        <v>105</v>
      </c>
      <c r="O43" s="10" t="s">
        <v>105</v>
      </c>
      <c r="P43" s="10" t="s">
        <v>105</v>
      </c>
      <c r="Q43" s="10" t="s">
        <v>105</v>
      </c>
      <c r="R43" s="10" t="s">
        <v>105</v>
      </c>
      <c r="S43" s="10" t="s">
        <v>105</v>
      </c>
      <c r="T43" s="10" t="s">
        <v>105</v>
      </c>
      <c r="U43" s="10" t="s">
        <v>105</v>
      </c>
      <c r="V43" s="39"/>
    </row>
    <row r="44" spans="1:22" x14ac:dyDescent="0.25">
      <c r="A44" s="40">
        <v>26</v>
      </c>
      <c r="B44" s="6" t="s">
        <v>32</v>
      </c>
      <c r="C44" s="6" t="s">
        <v>39</v>
      </c>
      <c r="D44" s="11">
        <f>D40/D3/9</f>
        <v>5.7899999999999991</v>
      </c>
      <c r="E44" s="11">
        <f t="shared" ref="E44:G44" si="13">E40/E3/9</f>
        <v>5.7900000000000009</v>
      </c>
      <c r="F44" s="11">
        <f t="shared" si="13"/>
        <v>5.7900000000000009</v>
      </c>
      <c r="G44" s="11">
        <f t="shared" si="13"/>
        <v>5.7900000000000009</v>
      </c>
      <c r="H44" s="11">
        <f>H40/H3/4</f>
        <v>5.94</v>
      </c>
      <c r="I44" s="11">
        <f t="shared" ref="I44:U44" si="14">I40/I3/4</f>
        <v>5.94</v>
      </c>
      <c r="J44" s="11">
        <f t="shared" si="14"/>
        <v>5.94</v>
      </c>
      <c r="K44" s="11">
        <f t="shared" si="14"/>
        <v>5.94</v>
      </c>
      <c r="L44" s="11">
        <f t="shared" si="14"/>
        <v>5.9399999999999995</v>
      </c>
      <c r="M44" s="11">
        <f t="shared" si="14"/>
        <v>5.94</v>
      </c>
      <c r="N44" s="11">
        <f t="shared" si="14"/>
        <v>5.94</v>
      </c>
      <c r="O44" s="11">
        <f t="shared" si="14"/>
        <v>5.94</v>
      </c>
      <c r="P44" s="11">
        <f t="shared" si="14"/>
        <v>5.94</v>
      </c>
      <c r="Q44" s="11">
        <f t="shared" si="14"/>
        <v>5.94</v>
      </c>
      <c r="R44" s="11">
        <f t="shared" si="14"/>
        <v>5.94</v>
      </c>
      <c r="S44" s="11">
        <f t="shared" si="14"/>
        <v>5.94</v>
      </c>
      <c r="T44" s="11">
        <f t="shared" si="14"/>
        <v>5.94</v>
      </c>
      <c r="U44" s="11">
        <f t="shared" si="14"/>
        <v>5.94</v>
      </c>
      <c r="V44" s="39"/>
    </row>
    <row r="45" spans="1:22" ht="15.75" x14ac:dyDescent="0.25">
      <c r="A45" s="40">
        <v>21</v>
      </c>
      <c r="B45" s="15" t="s">
        <v>27</v>
      </c>
      <c r="C45" s="6" t="s">
        <v>4</v>
      </c>
      <c r="D45" s="12" t="s">
        <v>110</v>
      </c>
      <c r="E45" s="12" t="s">
        <v>110</v>
      </c>
      <c r="F45" s="12" t="s">
        <v>110</v>
      </c>
      <c r="G45" s="12" t="s">
        <v>110</v>
      </c>
      <c r="H45" s="12" t="s">
        <v>110</v>
      </c>
      <c r="I45" s="12" t="s">
        <v>110</v>
      </c>
      <c r="J45" s="12" t="s">
        <v>110</v>
      </c>
      <c r="K45" s="12" t="s">
        <v>110</v>
      </c>
      <c r="L45" s="12" t="s">
        <v>110</v>
      </c>
      <c r="M45" s="12" t="s">
        <v>110</v>
      </c>
      <c r="N45" s="12" t="s">
        <v>110</v>
      </c>
      <c r="O45" s="12" t="s">
        <v>110</v>
      </c>
      <c r="P45" s="12" t="s">
        <v>110</v>
      </c>
      <c r="Q45" s="12" t="s">
        <v>110</v>
      </c>
      <c r="R45" s="12" t="s">
        <v>110</v>
      </c>
      <c r="S45" s="12" t="s">
        <v>110</v>
      </c>
      <c r="T45" s="12" t="s">
        <v>110</v>
      </c>
      <c r="U45" s="12" t="s">
        <v>110</v>
      </c>
      <c r="V45" s="39"/>
    </row>
    <row r="46" spans="1:22" ht="15.75" x14ac:dyDescent="0.25">
      <c r="A46" s="40">
        <v>22</v>
      </c>
      <c r="B46" s="7" t="s">
        <v>28</v>
      </c>
      <c r="C46" s="6" t="s">
        <v>39</v>
      </c>
      <c r="D46" s="11">
        <f>+D3*6.18*9</f>
        <v>68568.335999999996</v>
      </c>
      <c r="E46" s="11">
        <f t="shared" ref="E46:G46" si="15">+E3*6.18*9</f>
        <v>77834.627999999997</v>
      </c>
      <c r="F46" s="11">
        <f t="shared" si="15"/>
        <v>62989.649999999994</v>
      </c>
      <c r="G46" s="11">
        <f t="shared" si="15"/>
        <v>77940.305999999997</v>
      </c>
      <c r="H46" s="11">
        <f>+H3*13.56</f>
        <v>19001.628000000001</v>
      </c>
      <c r="I46" s="11">
        <f t="shared" ref="I46:U46" si="16">+I3*13.56</f>
        <v>21411.24</v>
      </c>
      <c r="J46" s="11">
        <f t="shared" si="16"/>
        <v>21335.304000000004</v>
      </c>
      <c r="K46" s="11">
        <f t="shared" si="16"/>
        <v>19001.628000000001</v>
      </c>
      <c r="L46" s="11">
        <f t="shared" si="16"/>
        <v>21320.387999999999</v>
      </c>
      <c r="M46" s="11">
        <f t="shared" si="16"/>
        <v>19001.628000000001</v>
      </c>
      <c r="N46" s="11">
        <f t="shared" si="16"/>
        <v>19001.628000000001</v>
      </c>
      <c r="O46" s="11">
        <f t="shared" si="16"/>
        <v>8762.4720000000016</v>
      </c>
      <c r="P46" s="11">
        <f t="shared" si="16"/>
        <v>8475</v>
      </c>
      <c r="Q46" s="11">
        <f t="shared" si="16"/>
        <v>19001.628000000001</v>
      </c>
      <c r="R46" s="11">
        <f t="shared" si="16"/>
        <v>19001.628000000001</v>
      </c>
      <c r="S46" s="11">
        <f t="shared" si="16"/>
        <v>19001.628000000001</v>
      </c>
      <c r="T46" s="11">
        <f t="shared" si="16"/>
        <v>19001.628000000001</v>
      </c>
      <c r="U46" s="11">
        <f t="shared" si="16"/>
        <v>19001.628000000001</v>
      </c>
      <c r="V46" s="39"/>
    </row>
    <row r="47" spans="1:22" ht="15.75" x14ac:dyDescent="0.25">
      <c r="A47" s="40">
        <v>23</v>
      </c>
      <c r="B47" s="7" t="s">
        <v>29</v>
      </c>
      <c r="C47" s="6" t="s">
        <v>4</v>
      </c>
      <c r="D47" s="10" t="s">
        <v>116</v>
      </c>
      <c r="E47" s="10" t="s">
        <v>116</v>
      </c>
      <c r="F47" s="10" t="s">
        <v>116</v>
      </c>
      <c r="G47" s="10" t="s">
        <v>116</v>
      </c>
      <c r="H47" s="10" t="s">
        <v>116</v>
      </c>
      <c r="I47" s="10" t="s">
        <v>116</v>
      </c>
      <c r="J47" s="10" t="s">
        <v>116</v>
      </c>
      <c r="K47" s="10" t="s">
        <v>116</v>
      </c>
      <c r="L47" s="10" t="s">
        <v>116</v>
      </c>
      <c r="M47" s="10" t="s">
        <v>116</v>
      </c>
      <c r="N47" s="10" t="s">
        <v>116</v>
      </c>
      <c r="O47" s="10" t="s">
        <v>116</v>
      </c>
      <c r="P47" s="10" t="s">
        <v>116</v>
      </c>
      <c r="Q47" s="10" t="s">
        <v>116</v>
      </c>
      <c r="R47" s="10" t="s">
        <v>116</v>
      </c>
      <c r="S47" s="10" t="s">
        <v>116</v>
      </c>
      <c r="T47" s="10" t="s">
        <v>116</v>
      </c>
      <c r="U47" s="10" t="s">
        <v>116</v>
      </c>
      <c r="V47" s="39"/>
    </row>
    <row r="48" spans="1:22" ht="15.75" x14ac:dyDescent="0.25">
      <c r="A48" s="40">
        <v>24</v>
      </c>
      <c r="B48" s="7" t="s">
        <v>30</v>
      </c>
      <c r="C48" s="6" t="s">
        <v>4</v>
      </c>
      <c r="D48" s="10" t="s">
        <v>116</v>
      </c>
      <c r="E48" s="10" t="s">
        <v>116</v>
      </c>
      <c r="F48" s="10" t="s">
        <v>116</v>
      </c>
      <c r="G48" s="10" t="s">
        <v>116</v>
      </c>
      <c r="H48" s="10" t="s">
        <v>116</v>
      </c>
      <c r="I48" s="10" t="s">
        <v>116</v>
      </c>
      <c r="J48" s="10" t="s">
        <v>116</v>
      </c>
      <c r="K48" s="10" t="s">
        <v>116</v>
      </c>
      <c r="L48" s="10" t="s">
        <v>116</v>
      </c>
      <c r="M48" s="10" t="s">
        <v>116</v>
      </c>
      <c r="N48" s="10" t="s">
        <v>116</v>
      </c>
      <c r="O48" s="10" t="s">
        <v>116</v>
      </c>
      <c r="P48" s="10" t="s">
        <v>116</v>
      </c>
      <c r="Q48" s="10" t="s">
        <v>116</v>
      </c>
      <c r="R48" s="10" t="s">
        <v>116</v>
      </c>
      <c r="S48" s="10" t="s">
        <v>116</v>
      </c>
      <c r="T48" s="10" t="s">
        <v>116</v>
      </c>
      <c r="U48" s="10" t="s">
        <v>116</v>
      </c>
      <c r="V48" s="39"/>
    </row>
    <row r="49" spans="1:22" x14ac:dyDescent="0.25">
      <c r="A49" s="40">
        <v>25</v>
      </c>
      <c r="B49" s="6" t="s">
        <v>31</v>
      </c>
      <c r="C49" s="6" t="s">
        <v>4</v>
      </c>
      <c r="D49" s="10" t="s">
        <v>105</v>
      </c>
      <c r="E49" s="10" t="s">
        <v>105</v>
      </c>
      <c r="F49" s="10" t="s">
        <v>105</v>
      </c>
      <c r="G49" s="10" t="s">
        <v>105</v>
      </c>
      <c r="H49" s="10" t="s">
        <v>105</v>
      </c>
      <c r="I49" s="10" t="s">
        <v>105</v>
      </c>
      <c r="J49" s="10" t="s">
        <v>105</v>
      </c>
      <c r="K49" s="10" t="s">
        <v>105</v>
      </c>
      <c r="L49" s="10" t="s">
        <v>105</v>
      </c>
      <c r="M49" s="10" t="s">
        <v>105</v>
      </c>
      <c r="N49" s="10" t="s">
        <v>105</v>
      </c>
      <c r="O49" s="10" t="s">
        <v>105</v>
      </c>
      <c r="P49" s="10" t="s">
        <v>105</v>
      </c>
      <c r="Q49" s="10" t="s">
        <v>105</v>
      </c>
      <c r="R49" s="10" t="s">
        <v>105</v>
      </c>
      <c r="S49" s="10" t="s">
        <v>105</v>
      </c>
      <c r="T49" s="10" t="s">
        <v>105</v>
      </c>
      <c r="U49" s="10" t="s">
        <v>105</v>
      </c>
      <c r="V49" s="39"/>
    </row>
    <row r="50" spans="1:22" x14ac:dyDescent="0.25">
      <c r="A50" s="40">
        <v>26</v>
      </c>
      <c r="B50" s="6" t="s">
        <v>32</v>
      </c>
      <c r="C50" s="6" t="s">
        <v>39</v>
      </c>
      <c r="D50" s="11">
        <f>D46/D3/9</f>
        <v>6.18</v>
      </c>
      <c r="E50" s="11">
        <f t="shared" ref="E50:G50" si="17">E46/E3/9</f>
        <v>6.18</v>
      </c>
      <c r="F50" s="11">
        <f t="shared" si="17"/>
        <v>6.18</v>
      </c>
      <c r="G50" s="11">
        <f t="shared" si="17"/>
        <v>6.18</v>
      </c>
      <c r="H50" s="11">
        <f>H46/H3/4</f>
        <v>3.39</v>
      </c>
      <c r="I50" s="11">
        <f t="shared" ref="I50:U50" si="18">I46/I3/4</f>
        <v>3.39</v>
      </c>
      <c r="J50" s="11">
        <f t="shared" si="18"/>
        <v>3.3900000000000006</v>
      </c>
      <c r="K50" s="11">
        <f t="shared" si="18"/>
        <v>3.39</v>
      </c>
      <c r="L50" s="11">
        <f t="shared" si="18"/>
        <v>3.39</v>
      </c>
      <c r="M50" s="11">
        <f t="shared" si="18"/>
        <v>3.39</v>
      </c>
      <c r="N50" s="11">
        <f t="shared" si="18"/>
        <v>3.39</v>
      </c>
      <c r="O50" s="11">
        <f t="shared" si="18"/>
        <v>3.3900000000000006</v>
      </c>
      <c r="P50" s="11">
        <f t="shared" si="18"/>
        <v>3.39</v>
      </c>
      <c r="Q50" s="11">
        <f t="shared" si="18"/>
        <v>3.39</v>
      </c>
      <c r="R50" s="11">
        <f t="shared" si="18"/>
        <v>3.39</v>
      </c>
      <c r="S50" s="11">
        <f t="shared" si="18"/>
        <v>3.39</v>
      </c>
      <c r="T50" s="11">
        <f t="shared" si="18"/>
        <v>3.39</v>
      </c>
      <c r="U50" s="11">
        <f t="shared" si="18"/>
        <v>3.39</v>
      </c>
      <c r="V50" s="39"/>
    </row>
    <row r="51" spans="1:22" ht="15.75" hidden="1" x14ac:dyDescent="0.25">
      <c r="A51" s="40">
        <v>21</v>
      </c>
      <c r="B51" s="15" t="s">
        <v>27</v>
      </c>
      <c r="C51" s="6" t="s">
        <v>4</v>
      </c>
      <c r="D51" s="12" t="s">
        <v>108</v>
      </c>
      <c r="E51" s="12" t="s">
        <v>108</v>
      </c>
      <c r="F51" s="12" t="s">
        <v>108</v>
      </c>
      <c r="G51" s="12" t="s">
        <v>108</v>
      </c>
      <c r="H51" s="12" t="s">
        <v>108</v>
      </c>
      <c r="I51" s="12" t="s">
        <v>108</v>
      </c>
      <c r="J51" s="12" t="s">
        <v>108</v>
      </c>
      <c r="K51" s="12" t="s">
        <v>108</v>
      </c>
      <c r="L51" s="12" t="s">
        <v>108</v>
      </c>
      <c r="M51" s="12" t="s">
        <v>108</v>
      </c>
      <c r="N51" s="12" t="s">
        <v>108</v>
      </c>
      <c r="O51" s="12" t="s">
        <v>108</v>
      </c>
      <c r="P51" s="12" t="s">
        <v>108</v>
      </c>
      <c r="Q51" s="12" t="s">
        <v>108</v>
      </c>
      <c r="R51" s="12" t="s">
        <v>108</v>
      </c>
      <c r="S51" s="12" t="s">
        <v>108</v>
      </c>
      <c r="T51" s="12" t="s">
        <v>108</v>
      </c>
      <c r="U51" s="12" t="s">
        <v>108</v>
      </c>
      <c r="V51" s="39"/>
    </row>
    <row r="52" spans="1:22" ht="15.75" hidden="1" x14ac:dyDescent="0.25">
      <c r="A52" s="40">
        <v>22</v>
      </c>
      <c r="B52" s="7" t="s">
        <v>28</v>
      </c>
      <c r="C52" s="6" t="s">
        <v>39</v>
      </c>
      <c r="D52" s="10">
        <v>78357.320000000007</v>
      </c>
      <c r="E52" s="10">
        <v>78357.320000000007</v>
      </c>
      <c r="F52" s="10">
        <v>78357.320000000007</v>
      </c>
      <c r="G52" s="10">
        <v>78357.320000000007</v>
      </c>
      <c r="H52" s="10">
        <v>78357.320000000007</v>
      </c>
      <c r="I52" s="10">
        <v>78357.320000000007</v>
      </c>
      <c r="J52" s="10">
        <v>78357.320000000007</v>
      </c>
      <c r="K52" s="10">
        <v>78357.320000000007</v>
      </c>
      <c r="L52" s="10">
        <v>78357.320000000007</v>
      </c>
      <c r="M52" s="10">
        <v>78357.320000000007</v>
      </c>
      <c r="N52" s="10">
        <v>78357.320000000007</v>
      </c>
      <c r="O52" s="10">
        <v>78357.320000000007</v>
      </c>
      <c r="P52" s="10">
        <v>78357.320000000007</v>
      </c>
      <c r="Q52" s="10">
        <v>78357.320000000007</v>
      </c>
      <c r="R52" s="10">
        <v>78357.320000000007</v>
      </c>
      <c r="S52" s="10">
        <v>78357.320000000007</v>
      </c>
      <c r="T52" s="10">
        <v>78357.320000000007</v>
      </c>
      <c r="U52" s="10">
        <v>78357.320000000007</v>
      </c>
      <c r="V52" s="39"/>
    </row>
    <row r="53" spans="1:22" ht="15.75" hidden="1" x14ac:dyDescent="0.25">
      <c r="A53" s="40">
        <v>23</v>
      </c>
      <c r="B53" s="7" t="s">
        <v>29</v>
      </c>
      <c r="C53" s="6" t="s">
        <v>4</v>
      </c>
      <c r="D53" s="10" t="s">
        <v>116</v>
      </c>
      <c r="E53" s="10" t="s">
        <v>116</v>
      </c>
      <c r="F53" s="10" t="s">
        <v>116</v>
      </c>
      <c r="G53" s="10" t="s">
        <v>116</v>
      </c>
      <c r="H53" s="10" t="s">
        <v>116</v>
      </c>
      <c r="I53" s="10" t="s">
        <v>116</v>
      </c>
      <c r="J53" s="10" t="s">
        <v>116</v>
      </c>
      <c r="K53" s="10" t="s">
        <v>116</v>
      </c>
      <c r="L53" s="10" t="s">
        <v>116</v>
      </c>
      <c r="M53" s="10" t="s">
        <v>116</v>
      </c>
      <c r="N53" s="10" t="s">
        <v>116</v>
      </c>
      <c r="O53" s="10" t="s">
        <v>116</v>
      </c>
      <c r="P53" s="10" t="s">
        <v>116</v>
      </c>
      <c r="Q53" s="10" t="s">
        <v>116</v>
      </c>
      <c r="R53" s="10" t="s">
        <v>116</v>
      </c>
      <c r="S53" s="10" t="s">
        <v>116</v>
      </c>
      <c r="T53" s="10" t="s">
        <v>116</v>
      </c>
      <c r="U53" s="10" t="s">
        <v>116</v>
      </c>
      <c r="V53" s="39"/>
    </row>
    <row r="54" spans="1:22" ht="15.75" hidden="1" x14ac:dyDescent="0.25">
      <c r="A54" s="40">
        <v>24</v>
      </c>
      <c r="B54" s="7" t="s">
        <v>30</v>
      </c>
      <c r="C54" s="6" t="s">
        <v>4</v>
      </c>
      <c r="D54" s="10" t="s">
        <v>116</v>
      </c>
      <c r="E54" s="10" t="s">
        <v>116</v>
      </c>
      <c r="F54" s="10" t="s">
        <v>116</v>
      </c>
      <c r="G54" s="10" t="s">
        <v>116</v>
      </c>
      <c r="H54" s="10" t="s">
        <v>116</v>
      </c>
      <c r="I54" s="10" t="s">
        <v>116</v>
      </c>
      <c r="J54" s="10" t="s">
        <v>116</v>
      </c>
      <c r="K54" s="10" t="s">
        <v>116</v>
      </c>
      <c r="L54" s="10" t="s">
        <v>116</v>
      </c>
      <c r="M54" s="10" t="s">
        <v>116</v>
      </c>
      <c r="N54" s="10" t="s">
        <v>116</v>
      </c>
      <c r="O54" s="10" t="s">
        <v>116</v>
      </c>
      <c r="P54" s="10" t="s">
        <v>116</v>
      </c>
      <c r="Q54" s="10" t="s">
        <v>116</v>
      </c>
      <c r="R54" s="10" t="s">
        <v>116</v>
      </c>
      <c r="S54" s="10" t="s">
        <v>116</v>
      </c>
      <c r="T54" s="10" t="s">
        <v>116</v>
      </c>
      <c r="U54" s="10" t="s">
        <v>116</v>
      </c>
      <c r="V54" s="39"/>
    </row>
    <row r="55" spans="1:22" hidden="1" x14ac:dyDescent="0.25">
      <c r="A55" s="40">
        <v>25</v>
      </c>
      <c r="B55" s="6" t="s">
        <v>31</v>
      </c>
      <c r="C55" s="6" t="s">
        <v>4</v>
      </c>
      <c r="D55" s="10" t="s">
        <v>105</v>
      </c>
      <c r="E55" s="10" t="s">
        <v>105</v>
      </c>
      <c r="F55" s="10" t="s">
        <v>105</v>
      </c>
      <c r="G55" s="10" t="s">
        <v>105</v>
      </c>
      <c r="H55" s="10" t="s">
        <v>105</v>
      </c>
      <c r="I55" s="10" t="s">
        <v>105</v>
      </c>
      <c r="J55" s="10" t="s">
        <v>105</v>
      </c>
      <c r="K55" s="10" t="s">
        <v>105</v>
      </c>
      <c r="L55" s="10" t="s">
        <v>105</v>
      </c>
      <c r="M55" s="10" t="s">
        <v>105</v>
      </c>
      <c r="N55" s="10" t="s">
        <v>105</v>
      </c>
      <c r="O55" s="10" t="s">
        <v>105</v>
      </c>
      <c r="P55" s="10" t="s">
        <v>105</v>
      </c>
      <c r="Q55" s="10" t="s">
        <v>105</v>
      </c>
      <c r="R55" s="10" t="s">
        <v>105</v>
      </c>
      <c r="S55" s="10" t="s">
        <v>105</v>
      </c>
      <c r="T55" s="10" t="s">
        <v>105</v>
      </c>
      <c r="U55" s="10" t="s">
        <v>105</v>
      </c>
      <c r="V55" s="39"/>
    </row>
    <row r="56" spans="1:22" hidden="1" x14ac:dyDescent="0.25">
      <c r="A56" s="40">
        <v>26</v>
      </c>
      <c r="B56" s="6" t="s">
        <v>32</v>
      </c>
      <c r="C56" s="6" t="s">
        <v>39</v>
      </c>
      <c r="D56" s="11">
        <f>D52/D3</f>
        <v>63.560447761194041</v>
      </c>
      <c r="E56" s="11">
        <f t="shared" ref="E56:U56" si="19">E52/E3</f>
        <v>55.993511504930687</v>
      </c>
      <c r="F56" s="11">
        <f t="shared" si="19"/>
        <v>69.189686534216335</v>
      </c>
      <c r="G56" s="11">
        <f t="shared" si="19"/>
        <v>55.917590808534939</v>
      </c>
      <c r="H56" s="11">
        <f t="shared" si="19"/>
        <v>55.917590808534939</v>
      </c>
      <c r="I56" s="11">
        <f t="shared" si="19"/>
        <v>49.624648511716281</v>
      </c>
      <c r="J56" s="11">
        <f t="shared" si="19"/>
        <v>49.801271132579132</v>
      </c>
      <c r="K56" s="11">
        <f t="shared" si="19"/>
        <v>55.917590808534939</v>
      </c>
      <c r="L56" s="11">
        <f t="shared" si="19"/>
        <v>49.836112701138468</v>
      </c>
      <c r="M56" s="11">
        <f t="shared" si="19"/>
        <v>55.917590808534939</v>
      </c>
      <c r="N56" s="11">
        <f t="shared" si="19"/>
        <v>55.917590808534939</v>
      </c>
      <c r="O56" s="11">
        <f t="shared" si="19"/>
        <v>121.25861962240792</v>
      </c>
      <c r="P56" s="11">
        <f t="shared" si="19"/>
        <v>125.37171200000002</v>
      </c>
      <c r="Q56" s="11">
        <f t="shared" si="19"/>
        <v>55.917590808534939</v>
      </c>
      <c r="R56" s="11">
        <f t="shared" si="19"/>
        <v>55.917590808534939</v>
      </c>
      <c r="S56" s="11">
        <f t="shared" si="19"/>
        <v>55.917590808534939</v>
      </c>
      <c r="T56" s="11">
        <f t="shared" si="19"/>
        <v>55.917590808534939</v>
      </c>
      <c r="U56" s="11">
        <f t="shared" si="19"/>
        <v>55.917590808534939</v>
      </c>
      <c r="V56" s="39"/>
    </row>
    <row r="57" spans="1:22" ht="30" hidden="1" x14ac:dyDescent="0.25">
      <c r="A57" s="40">
        <v>21</v>
      </c>
      <c r="B57" s="15" t="s">
        <v>27</v>
      </c>
      <c r="C57" s="6" t="s">
        <v>4</v>
      </c>
      <c r="D57" s="12" t="s">
        <v>109</v>
      </c>
      <c r="E57" s="12" t="s">
        <v>109</v>
      </c>
      <c r="F57" s="12" t="s">
        <v>109</v>
      </c>
      <c r="G57" s="12" t="s">
        <v>109</v>
      </c>
      <c r="H57" s="12" t="s">
        <v>109</v>
      </c>
      <c r="I57" s="12" t="s">
        <v>109</v>
      </c>
      <c r="J57" s="12" t="s">
        <v>109</v>
      </c>
      <c r="K57" s="12" t="s">
        <v>109</v>
      </c>
      <c r="L57" s="12" t="s">
        <v>109</v>
      </c>
      <c r="M57" s="12" t="s">
        <v>109</v>
      </c>
      <c r="N57" s="12" t="s">
        <v>109</v>
      </c>
      <c r="O57" s="12" t="s">
        <v>109</v>
      </c>
      <c r="P57" s="12" t="s">
        <v>109</v>
      </c>
      <c r="Q57" s="12" t="s">
        <v>109</v>
      </c>
      <c r="R57" s="12" t="s">
        <v>109</v>
      </c>
      <c r="S57" s="12" t="s">
        <v>109</v>
      </c>
      <c r="T57" s="12" t="s">
        <v>109</v>
      </c>
      <c r="U57" s="12" t="s">
        <v>109</v>
      </c>
      <c r="V57" s="39"/>
    </row>
    <row r="58" spans="1:22" ht="15.75" hidden="1" x14ac:dyDescent="0.25">
      <c r="A58" s="40">
        <v>22</v>
      </c>
      <c r="B58" s="7" t="s">
        <v>28</v>
      </c>
      <c r="C58" s="6" t="s">
        <v>39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39"/>
    </row>
    <row r="59" spans="1:22" ht="15.75" hidden="1" x14ac:dyDescent="0.25">
      <c r="A59" s="40">
        <v>23</v>
      </c>
      <c r="B59" s="7" t="s">
        <v>29</v>
      </c>
      <c r="C59" s="6" t="s">
        <v>4</v>
      </c>
      <c r="D59" s="10" t="s">
        <v>116</v>
      </c>
      <c r="E59" s="10" t="s">
        <v>116</v>
      </c>
      <c r="F59" s="10" t="s">
        <v>116</v>
      </c>
      <c r="G59" s="10" t="s">
        <v>116</v>
      </c>
      <c r="H59" s="10" t="s">
        <v>116</v>
      </c>
      <c r="I59" s="10" t="s">
        <v>116</v>
      </c>
      <c r="J59" s="10" t="s">
        <v>116</v>
      </c>
      <c r="K59" s="10" t="s">
        <v>116</v>
      </c>
      <c r="L59" s="10" t="s">
        <v>116</v>
      </c>
      <c r="M59" s="10" t="s">
        <v>116</v>
      </c>
      <c r="N59" s="10" t="s">
        <v>116</v>
      </c>
      <c r="O59" s="10" t="s">
        <v>116</v>
      </c>
      <c r="P59" s="10" t="s">
        <v>116</v>
      </c>
      <c r="Q59" s="10" t="s">
        <v>116</v>
      </c>
      <c r="R59" s="10" t="s">
        <v>116</v>
      </c>
      <c r="S59" s="10" t="s">
        <v>116</v>
      </c>
      <c r="T59" s="10" t="s">
        <v>116</v>
      </c>
      <c r="U59" s="10" t="s">
        <v>116</v>
      </c>
      <c r="V59" s="39"/>
    </row>
    <row r="60" spans="1:22" ht="15.75" hidden="1" x14ac:dyDescent="0.25">
      <c r="A60" s="40">
        <v>24</v>
      </c>
      <c r="B60" s="7" t="s">
        <v>30</v>
      </c>
      <c r="C60" s="6" t="s">
        <v>4</v>
      </c>
      <c r="D60" s="10" t="s">
        <v>116</v>
      </c>
      <c r="E60" s="10" t="s">
        <v>116</v>
      </c>
      <c r="F60" s="10" t="s">
        <v>116</v>
      </c>
      <c r="G60" s="10" t="s">
        <v>116</v>
      </c>
      <c r="H60" s="10" t="s">
        <v>116</v>
      </c>
      <c r="I60" s="10" t="s">
        <v>116</v>
      </c>
      <c r="J60" s="10" t="s">
        <v>116</v>
      </c>
      <c r="K60" s="10" t="s">
        <v>116</v>
      </c>
      <c r="L60" s="10" t="s">
        <v>116</v>
      </c>
      <c r="M60" s="10" t="s">
        <v>116</v>
      </c>
      <c r="N60" s="10" t="s">
        <v>116</v>
      </c>
      <c r="O60" s="10" t="s">
        <v>116</v>
      </c>
      <c r="P60" s="10" t="s">
        <v>116</v>
      </c>
      <c r="Q60" s="10" t="s">
        <v>116</v>
      </c>
      <c r="R60" s="10" t="s">
        <v>116</v>
      </c>
      <c r="S60" s="10" t="s">
        <v>116</v>
      </c>
      <c r="T60" s="10" t="s">
        <v>116</v>
      </c>
      <c r="U60" s="10" t="s">
        <v>116</v>
      </c>
      <c r="V60" s="39"/>
    </row>
    <row r="61" spans="1:22" hidden="1" x14ac:dyDescent="0.25">
      <c r="A61" s="40">
        <v>25</v>
      </c>
      <c r="B61" s="6" t="s">
        <v>31</v>
      </c>
      <c r="C61" s="6" t="s">
        <v>4</v>
      </c>
      <c r="D61" s="10" t="s">
        <v>105</v>
      </c>
      <c r="E61" s="10" t="s">
        <v>105</v>
      </c>
      <c r="F61" s="10" t="s">
        <v>105</v>
      </c>
      <c r="G61" s="10" t="s">
        <v>105</v>
      </c>
      <c r="H61" s="10" t="s">
        <v>105</v>
      </c>
      <c r="I61" s="10" t="s">
        <v>105</v>
      </c>
      <c r="J61" s="10" t="s">
        <v>105</v>
      </c>
      <c r="K61" s="10" t="s">
        <v>105</v>
      </c>
      <c r="L61" s="10" t="s">
        <v>105</v>
      </c>
      <c r="M61" s="10" t="s">
        <v>105</v>
      </c>
      <c r="N61" s="10" t="s">
        <v>105</v>
      </c>
      <c r="O61" s="10" t="s">
        <v>105</v>
      </c>
      <c r="P61" s="10" t="s">
        <v>105</v>
      </c>
      <c r="Q61" s="10" t="s">
        <v>105</v>
      </c>
      <c r="R61" s="10" t="s">
        <v>105</v>
      </c>
      <c r="S61" s="10" t="s">
        <v>105</v>
      </c>
      <c r="T61" s="10" t="s">
        <v>105</v>
      </c>
      <c r="U61" s="10" t="s">
        <v>105</v>
      </c>
      <c r="V61" s="39"/>
    </row>
    <row r="62" spans="1:22" hidden="1" x14ac:dyDescent="0.25">
      <c r="A62" s="40">
        <v>26</v>
      </c>
      <c r="B62" s="6" t="s">
        <v>32</v>
      </c>
      <c r="C62" s="6" t="s">
        <v>39</v>
      </c>
      <c r="D62" s="11">
        <f>D58/D3</f>
        <v>0</v>
      </c>
      <c r="E62" s="11">
        <f t="shared" ref="E62:U62" si="20">E58/E3</f>
        <v>0</v>
      </c>
      <c r="F62" s="11">
        <f t="shared" si="20"/>
        <v>0</v>
      </c>
      <c r="G62" s="11">
        <f t="shared" si="20"/>
        <v>0</v>
      </c>
      <c r="H62" s="11">
        <f t="shared" si="20"/>
        <v>0</v>
      </c>
      <c r="I62" s="11">
        <f t="shared" si="20"/>
        <v>0</v>
      </c>
      <c r="J62" s="11">
        <f t="shared" si="20"/>
        <v>0</v>
      </c>
      <c r="K62" s="11">
        <f t="shared" si="20"/>
        <v>0</v>
      </c>
      <c r="L62" s="11">
        <f t="shared" si="20"/>
        <v>0</v>
      </c>
      <c r="M62" s="11">
        <f t="shared" si="20"/>
        <v>0</v>
      </c>
      <c r="N62" s="11">
        <f t="shared" si="20"/>
        <v>0</v>
      </c>
      <c r="O62" s="11">
        <f t="shared" si="20"/>
        <v>0</v>
      </c>
      <c r="P62" s="11">
        <f t="shared" si="20"/>
        <v>0</v>
      </c>
      <c r="Q62" s="11">
        <f t="shared" si="20"/>
        <v>0</v>
      </c>
      <c r="R62" s="11">
        <f t="shared" si="20"/>
        <v>0</v>
      </c>
      <c r="S62" s="11">
        <f t="shared" si="20"/>
        <v>0</v>
      </c>
      <c r="T62" s="11">
        <f t="shared" si="20"/>
        <v>0</v>
      </c>
      <c r="U62" s="11">
        <f t="shared" si="20"/>
        <v>0</v>
      </c>
      <c r="V62" s="39"/>
    </row>
    <row r="63" spans="1:22" ht="30" hidden="1" x14ac:dyDescent="0.25">
      <c r="A63" s="40">
        <v>21</v>
      </c>
      <c r="B63" s="15" t="s">
        <v>27</v>
      </c>
      <c r="C63" s="6" t="s">
        <v>4</v>
      </c>
      <c r="D63" s="12" t="s">
        <v>113</v>
      </c>
      <c r="E63" s="12" t="s">
        <v>113</v>
      </c>
      <c r="F63" s="12" t="s">
        <v>113</v>
      </c>
      <c r="G63" s="12" t="s">
        <v>113</v>
      </c>
      <c r="H63" s="12" t="s">
        <v>113</v>
      </c>
      <c r="I63" s="12" t="s">
        <v>113</v>
      </c>
      <c r="J63" s="12" t="s">
        <v>113</v>
      </c>
      <c r="K63" s="12" t="s">
        <v>113</v>
      </c>
      <c r="L63" s="12" t="s">
        <v>113</v>
      </c>
      <c r="M63" s="12" t="s">
        <v>113</v>
      </c>
      <c r="N63" s="12" t="s">
        <v>113</v>
      </c>
      <c r="O63" s="12" t="s">
        <v>113</v>
      </c>
      <c r="P63" s="12" t="s">
        <v>113</v>
      </c>
      <c r="Q63" s="12" t="s">
        <v>113</v>
      </c>
      <c r="R63" s="12" t="s">
        <v>113</v>
      </c>
      <c r="S63" s="12" t="s">
        <v>113</v>
      </c>
      <c r="T63" s="12" t="s">
        <v>113</v>
      </c>
      <c r="U63" s="12" t="s">
        <v>113</v>
      </c>
      <c r="V63" s="39"/>
    </row>
    <row r="64" spans="1:22" ht="15.75" hidden="1" x14ac:dyDescent="0.25">
      <c r="A64" s="40">
        <v>22</v>
      </c>
      <c r="B64" s="7" t="s">
        <v>28</v>
      </c>
      <c r="C64" s="6" t="s">
        <v>39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39"/>
    </row>
    <row r="65" spans="1:22" ht="15.75" hidden="1" x14ac:dyDescent="0.25">
      <c r="A65" s="40">
        <v>23</v>
      </c>
      <c r="B65" s="7" t="s">
        <v>29</v>
      </c>
      <c r="C65" s="6" t="s">
        <v>4</v>
      </c>
      <c r="D65" s="10" t="s">
        <v>116</v>
      </c>
      <c r="E65" s="10" t="s">
        <v>116</v>
      </c>
      <c r="F65" s="10" t="s">
        <v>116</v>
      </c>
      <c r="G65" s="10" t="s">
        <v>116</v>
      </c>
      <c r="H65" s="10" t="s">
        <v>116</v>
      </c>
      <c r="I65" s="10" t="s">
        <v>116</v>
      </c>
      <c r="J65" s="10" t="s">
        <v>116</v>
      </c>
      <c r="K65" s="10" t="s">
        <v>116</v>
      </c>
      <c r="L65" s="10" t="s">
        <v>116</v>
      </c>
      <c r="M65" s="10" t="s">
        <v>116</v>
      </c>
      <c r="N65" s="10" t="s">
        <v>116</v>
      </c>
      <c r="O65" s="10" t="s">
        <v>116</v>
      </c>
      <c r="P65" s="10" t="s">
        <v>116</v>
      </c>
      <c r="Q65" s="10" t="s">
        <v>116</v>
      </c>
      <c r="R65" s="10" t="s">
        <v>116</v>
      </c>
      <c r="S65" s="10" t="s">
        <v>116</v>
      </c>
      <c r="T65" s="10" t="s">
        <v>116</v>
      </c>
      <c r="U65" s="10" t="s">
        <v>116</v>
      </c>
      <c r="V65" s="39"/>
    </row>
    <row r="66" spans="1:22" ht="15.75" hidden="1" x14ac:dyDescent="0.25">
      <c r="A66" s="40">
        <v>24</v>
      </c>
      <c r="B66" s="7" t="s">
        <v>30</v>
      </c>
      <c r="C66" s="6" t="s">
        <v>4</v>
      </c>
      <c r="D66" s="10" t="s">
        <v>116</v>
      </c>
      <c r="E66" s="10" t="s">
        <v>116</v>
      </c>
      <c r="F66" s="10" t="s">
        <v>116</v>
      </c>
      <c r="G66" s="10" t="s">
        <v>116</v>
      </c>
      <c r="H66" s="10" t="s">
        <v>116</v>
      </c>
      <c r="I66" s="10" t="s">
        <v>116</v>
      </c>
      <c r="J66" s="10" t="s">
        <v>116</v>
      </c>
      <c r="K66" s="10" t="s">
        <v>116</v>
      </c>
      <c r="L66" s="10" t="s">
        <v>116</v>
      </c>
      <c r="M66" s="10" t="s">
        <v>116</v>
      </c>
      <c r="N66" s="10" t="s">
        <v>116</v>
      </c>
      <c r="O66" s="10" t="s">
        <v>116</v>
      </c>
      <c r="P66" s="10" t="s">
        <v>116</v>
      </c>
      <c r="Q66" s="10" t="s">
        <v>116</v>
      </c>
      <c r="R66" s="10" t="s">
        <v>116</v>
      </c>
      <c r="S66" s="10" t="s">
        <v>116</v>
      </c>
      <c r="T66" s="10" t="s">
        <v>116</v>
      </c>
      <c r="U66" s="10" t="s">
        <v>116</v>
      </c>
      <c r="V66" s="39"/>
    </row>
    <row r="67" spans="1:22" hidden="1" x14ac:dyDescent="0.25">
      <c r="A67" s="40">
        <v>25</v>
      </c>
      <c r="B67" s="6" t="s">
        <v>31</v>
      </c>
      <c r="C67" s="6" t="s">
        <v>4</v>
      </c>
      <c r="D67" s="10" t="s">
        <v>105</v>
      </c>
      <c r="E67" s="10" t="s">
        <v>105</v>
      </c>
      <c r="F67" s="10" t="s">
        <v>105</v>
      </c>
      <c r="G67" s="10" t="s">
        <v>105</v>
      </c>
      <c r="H67" s="10" t="s">
        <v>105</v>
      </c>
      <c r="I67" s="10" t="s">
        <v>105</v>
      </c>
      <c r="J67" s="10" t="s">
        <v>105</v>
      </c>
      <c r="K67" s="10" t="s">
        <v>105</v>
      </c>
      <c r="L67" s="10" t="s">
        <v>105</v>
      </c>
      <c r="M67" s="10" t="s">
        <v>105</v>
      </c>
      <c r="N67" s="10" t="s">
        <v>105</v>
      </c>
      <c r="O67" s="10" t="s">
        <v>105</v>
      </c>
      <c r="P67" s="10" t="s">
        <v>105</v>
      </c>
      <c r="Q67" s="10" t="s">
        <v>105</v>
      </c>
      <c r="R67" s="10" t="s">
        <v>105</v>
      </c>
      <c r="S67" s="10" t="s">
        <v>105</v>
      </c>
      <c r="T67" s="10" t="s">
        <v>105</v>
      </c>
      <c r="U67" s="10" t="s">
        <v>105</v>
      </c>
      <c r="V67" s="39"/>
    </row>
    <row r="68" spans="1:22" hidden="1" x14ac:dyDescent="0.25">
      <c r="A68" s="40">
        <v>26</v>
      </c>
      <c r="B68" s="6" t="s">
        <v>32</v>
      </c>
      <c r="C68" s="6" t="s">
        <v>39</v>
      </c>
      <c r="D68" s="11">
        <f>D64/D3</f>
        <v>0</v>
      </c>
      <c r="E68" s="11">
        <f t="shared" ref="E68:U68" si="21">E64/E3</f>
        <v>0</v>
      </c>
      <c r="F68" s="11">
        <f t="shared" si="21"/>
        <v>0</v>
      </c>
      <c r="G68" s="11">
        <f t="shared" si="21"/>
        <v>0</v>
      </c>
      <c r="H68" s="11">
        <f t="shared" si="21"/>
        <v>0</v>
      </c>
      <c r="I68" s="11">
        <f t="shared" si="21"/>
        <v>0</v>
      </c>
      <c r="J68" s="11">
        <f t="shared" si="21"/>
        <v>0</v>
      </c>
      <c r="K68" s="11">
        <f t="shared" si="21"/>
        <v>0</v>
      </c>
      <c r="L68" s="11">
        <f t="shared" si="21"/>
        <v>0</v>
      </c>
      <c r="M68" s="11">
        <f t="shared" si="21"/>
        <v>0</v>
      </c>
      <c r="N68" s="11">
        <f t="shared" si="21"/>
        <v>0</v>
      </c>
      <c r="O68" s="11">
        <f t="shared" si="21"/>
        <v>0</v>
      </c>
      <c r="P68" s="11">
        <f t="shared" si="21"/>
        <v>0</v>
      </c>
      <c r="Q68" s="11">
        <f t="shared" si="21"/>
        <v>0</v>
      </c>
      <c r="R68" s="11">
        <f t="shared" si="21"/>
        <v>0</v>
      </c>
      <c r="S68" s="11">
        <f t="shared" si="21"/>
        <v>0</v>
      </c>
      <c r="T68" s="11">
        <f t="shared" si="21"/>
        <v>0</v>
      </c>
      <c r="U68" s="11">
        <f t="shared" si="21"/>
        <v>0</v>
      </c>
      <c r="V68" s="39"/>
    </row>
    <row r="69" spans="1:22" ht="45" hidden="1" x14ac:dyDescent="0.25">
      <c r="A69" s="40">
        <v>21</v>
      </c>
      <c r="B69" s="15" t="s">
        <v>27</v>
      </c>
      <c r="C69" s="6" t="s">
        <v>4</v>
      </c>
      <c r="D69" s="12" t="s">
        <v>114</v>
      </c>
      <c r="E69" s="12" t="s">
        <v>114</v>
      </c>
      <c r="F69" s="12" t="s">
        <v>114</v>
      </c>
      <c r="G69" s="12" t="s">
        <v>114</v>
      </c>
      <c r="H69" s="12" t="s">
        <v>114</v>
      </c>
      <c r="I69" s="12" t="s">
        <v>114</v>
      </c>
      <c r="J69" s="12" t="s">
        <v>114</v>
      </c>
      <c r="K69" s="12" t="s">
        <v>114</v>
      </c>
      <c r="L69" s="12" t="s">
        <v>114</v>
      </c>
      <c r="M69" s="12" t="s">
        <v>114</v>
      </c>
      <c r="N69" s="12" t="s">
        <v>114</v>
      </c>
      <c r="O69" s="12" t="s">
        <v>114</v>
      </c>
      <c r="P69" s="12" t="s">
        <v>114</v>
      </c>
      <c r="Q69" s="12" t="s">
        <v>114</v>
      </c>
      <c r="R69" s="12" t="s">
        <v>114</v>
      </c>
      <c r="S69" s="12" t="s">
        <v>114</v>
      </c>
      <c r="T69" s="12" t="s">
        <v>114</v>
      </c>
      <c r="U69" s="12" t="s">
        <v>114</v>
      </c>
      <c r="V69" s="39"/>
    </row>
    <row r="70" spans="1:22" ht="15.75" hidden="1" x14ac:dyDescent="0.25">
      <c r="A70" s="40">
        <v>22</v>
      </c>
      <c r="B70" s="7" t="s">
        <v>28</v>
      </c>
      <c r="C70" s="6" t="s">
        <v>39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39"/>
    </row>
    <row r="71" spans="1:22" ht="15.75" hidden="1" x14ac:dyDescent="0.25">
      <c r="A71" s="40">
        <v>23</v>
      </c>
      <c r="B71" s="7" t="s">
        <v>29</v>
      </c>
      <c r="C71" s="6" t="s">
        <v>4</v>
      </c>
      <c r="D71" s="10" t="s">
        <v>116</v>
      </c>
      <c r="E71" s="10" t="s">
        <v>116</v>
      </c>
      <c r="F71" s="10" t="s">
        <v>116</v>
      </c>
      <c r="G71" s="10" t="s">
        <v>116</v>
      </c>
      <c r="H71" s="10" t="s">
        <v>116</v>
      </c>
      <c r="I71" s="10" t="s">
        <v>116</v>
      </c>
      <c r="J71" s="10" t="s">
        <v>116</v>
      </c>
      <c r="K71" s="10" t="s">
        <v>116</v>
      </c>
      <c r="L71" s="10" t="s">
        <v>116</v>
      </c>
      <c r="M71" s="10" t="s">
        <v>116</v>
      </c>
      <c r="N71" s="10" t="s">
        <v>116</v>
      </c>
      <c r="O71" s="10" t="s">
        <v>116</v>
      </c>
      <c r="P71" s="10" t="s">
        <v>116</v>
      </c>
      <c r="Q71" s="10" t="s">
        <v>116</v>
      </c>
      <c r="R71" s="10" t="s">
        <v>116</v>
      </c>
      <c r="S71" s="10" t="s">
        <v>116</v>
      </c>
      <c r="T71" s="10" t="s">
        <v>116</v>
      </c>
      <c r="U71" s="10" t="s">
        <v>116</v>
      </c>
      <c r="V71" s="39"/>
    </row>
    <row r="72" spans="1:22" ht="15.75" hidden="1" x14ac:dyDescent="0.25">
      <c r="A72" s="40">
        <v>24</v>
      </c>
      <c r="B72" s="7" t="s">
        <v>30</v>
      </c>
      <c r="C72" s="6" t="s">
        <v>4</v>
      </c>
      <c r="D72" s="10" t="s">
        <v>116</v>
      </c>
      <c r="E72" s="10" t="s">
        <v>116</v>
      </c>
      <c r="F72" s="10" t="s">
        <v>116</v>
      </c>
      <c r="G72" s="10" t="s">
        <v>116</v>
      </c>
      <c r="H72" s="10" t="s">
        <v>116</v>
      </c>
      <c r="I72" s="10" t="s">
        <v>116</v>
      </c>
      <c r="J72" s="10" t="s">
        <v>116</v>
      </c>
      <c r="K72" s="10" t="s">
        <v>116</v>
      </c>
      <c r="L72" s="10" t="s">
        <v>116</v>
      </c>
      <c r="M72" s="10" t="s">
        <v>116</v>
      </c>
      <c r="N72" s="10" t="s">
        <v>116</v>
      </c>
      <c r="O72" s="10" t="s">
        <v>116</v>
      </c>
      <c r="P72" s="10" t="s">
        <v>116</v>
      </c>
      <c r="Q72" s="10" t="s">
        <v>116</v>
      </c>
      <c r="R72" s="10" t="s">
        <v>116</v>
      </c>
      <c r="S72" s="10" t="s">
        <v>116</v>
      </c>
      <c r="T72" s="10" t="s">
        <v>116</v>
      </c>
      <c r="U72" s="10" t="s">
        <v>116</v>
      </c>
      <c r="V72" s="39"/>
    </row>
    <row r="73" spans="1:22" hidden="1" x14ac:dyDescent="0.25">
      <c r="A73" s="40">
        <v>25</v>
      </c>
      <c r="B73" s="6" t="s">
        <v>31</v>
      </c>
      <c r="C73" s="6" t="s">
        <v>4</v>
      </c>
      <c r="D73" s="10" t="s">
        <v>105</v>
      </c>
      <c r="E73" s="10" t="s">
        <v>105</v>
      </c>
      <c r="F73" s="10" t="s">
        <v>105</v>
      </c>
      <c r="G73" s="10" t="s">
        <v>105</v>
      </c>
      <c r="H73" s="10" t="s">
        <v>105</v>
      </c>
      <c r="I73" s="10" t="s">
        <v>105</v>
      </c>
      <c r="J73" s="10" t="s">
        <v>105</v>
      </c>
      <c r="K73" s="10" t="s">
        <v>105</v>
      </c>
      <c r="L73" s="10" t="s">
        <v>105</v>
      </c>
      <c r="M73" s="10" t="s">
        <v>105</v>
      </c>
      <c r="N73" s="10" t="s">
        <v>105</v>
      </c>
      <c r="O73" s="10" t="s">
        <v>105</v>
      </c>
      <c r="P73" s="10" t="s">
        <v>105</v>
      </c>
      <c r="Q73" s="10" t="s">
        <v>105</v>
      </c>
      <c r="R73" s="10" t="s">
        <v>105</v>
      </c>
      <c r="S73" s="10" t="s">
        <v>105</v>
      </c>
      <c r="T73" s="10" t="s">
        <v>105</v>
      </c>
      <c r="U73" s="10" t="s">
        <v>105</v>
      </c>
      <c r="V73" s="39"/>
    </row>
    <row r="74" spans="1:22" hidden="1" x14ac:dyDescent="0.25">
      <c r="A74" s="40">
        <v>26</v>
      </c>
      <c r="B74" s="6" t="s">
        <v>32</v>
      </c>
      <c r="C74" s="6" t="s">
        <v>39</v>
      </c>
      <c r="D74" s="11">
        <f>D70/D3</f>
        <v>0</v>
      </c>
      <c r="E74" s="11">
        <f t="shared" ref="E74:U74" si="22">E70/E3</f>
        <v>0</v>
      </c>
      <c r="F74" s="11">
        <f t="shared" si="22"/>
        <v>0</v>
      </c>
      <c r="G74" s="11">
        <f t="shared" si="22"/>
        <v>0</v>
      </c>
      <c r="H74" s="11">
        <f t="shared" si="22"/>
        <v>0</v>
      </c>
      <c r="I74" s="11">
        <f t="shared" si="22"/>
        <v>0</v>
      </c>
      <c r="J74" s="11">
        <f t="shared" si="22"/>
        <v>0</v>
      </c>
      <c r="K74" s="11">
        <f t="shared" si="22"/>
        <v>0</v>
      </c>
      <c r="L74" s="11">
        <f t="shared" si="22"/>
        <v>0</v>
      </c>
      <c r="M74" s="11">
        <f t="shared" si="22"/>
        <v>0</v>
      </c>
      <c r="N74" s="11">
        <f t="shared" si="22"/>
        <v>0</v>
      </c>
      <c r="O74" s="11">
        <f t="shared" si="22"/>
        <v>0</v>
      </c>
      <c r="P74" s="11">
        <f t="shared" si="22"/>
        <v>0</v>
      </c>
      <c r="Q74" s="11">
        <f t="shared" si="22"/>
        <v>0</v>
      </c>
      <c r="R74" s="11">
        <f t="shared" si="22"/>
        <v>0</v>
      </c>
      <c r="S74" s="11">
        <f t="shared" si="22"/>
        <v>0</v>
      </c>
      <c r="T74" s="11">
        <f t="shared" si="22"/>
        <v>0</v>
      </c>
      <c r="U74" s="11">
        <f t="shared" si="22"/>
        <v>0</v>
      </c>
      <c r="V74" s="39"/>
    </row>
    <row r="75" spans="1:22" ht="30" x14ac:dyDescent="0.25">
      <c r="A75" s="40">
        <v>21</v>
      </c>
      <c r="B75" s="15" t="s">
        <v>27</v>
      </c>
      <c r="C75" s="6" t="s">
        <v>4</v>
      </c>
      <c r="D75" s="12" t="s">
        <v>115</v>
      </c>
      <c r="E75" s="12" t="s">
        <v>115</v>
      </c>
      <c r="F75" s="12" t="s">
        <v>115</v>
      </c>
      <c r="G75" s="12" t="s">
        <v>115</v>
      </c>
      <c r="H75" s="12" t="s">
        <v>115</v>
      </c>
      <c r="I75" s="12" t="s">
        <v>115</v>
      </c>
      <c r="J75" s="12" t="s">
        <v>115</v>
      </c>
      <c r="K75" s="12" t="s">
        <v>115</v>
      </c>
      <c r="L75" s="12" t="s">
        <v>115</v>
      </c>
      <c r="M75" s="12" t="s">
        <v>115</v>
      </c>
      <c r="N75" s="12" t="s">
        <v>115</v>
      </c>
      <c r="O75" s="12" t="s">
        <v>115</v>
      </c>
      <c r="P75" s="12" t="s">
        <v>115</v>
      </c>
      <c r="Q75" s="12" t="s">
        <v>115</v>
      </c>
      <c r="R75" s="12" t="s">
        <v>115</v>
      </c>
      <c r="S75" s="12" t="s">
        <v>115</v>
      </c>
      <c r="T75" s="12" t="s">
        <v>115</v>
      </c>
      <c r="U75" s="12" t="s">
        <v>115</v>
      </c>
      <c r="V75" s="39"/>
    </row>
    <row r="76" spans="1:22" ht="15.75" x14ac:dyDescent="0.25">
      <c r="A76" s="40">
        <v>22</v>
      </c>
      <c r="B76" s="7" t="s">
        <v>28</v>
      </c>
      <c r="C76" s="6" t="s">
        <v>39</v>
      </c>
      <c r="D76" s="11">
        <f>+D3*2.88*9</f>
        <v>31954.175999999999</v>
      </c>
      <c r="E76" s="11">
        <f t="shared" ref="E76:G76" si="23">+E3*2.88*9</f>
        <v>36272.447999999997</v>
      </c>
      <c r="F76" s="11">
        <f t="shared" si="23"/>
        <v>29354.399999999998</v>
      </c>
      <c r="G76" s="11">
        <f t="shared" si="23"/>
        <v>36321.695999999996</v>
      </c>
      <c r="H76" s="11">
        <f>+H3*6.73</f>
        <v>9430.7489999999998</v>
      </c>
      <c r="I76" s="11">
        <f t="shared" ref="I76:U76" si="24">+I3*6.73</f>
        <v>10626.67</v>
      </c>
      <c r="J76" s="11">
        <f t="shared" si="24"/>
        <v>10588.982000000002</v>
      </c>
      <c r="K76" s="11">
        <f t="shared" si="24"/>
        <v>9430.7489999999998</v>
      </c>
      <c r="L76" s="11">
        <f t="shared" si="24"/>
        <v>10581.579</v>
      </c>
      <c r="M76" s="11">
        <f t="shared" si="24"/>
        <v>9430.7489999999998</v>
      </c>
      <c r="N76" s="11">
        <f t="shared" si="24"/>
        <v>9430.7489999999998</v>
      </c>
      <c r="O76" s="11">
        <f t="shared" si="24"/>
        <v>4348.9260000000004</v>
      </c>
      <c r="P76" s="11">
        <f t="shared" si="24"/>
        <v>4206.25</v>
      </c>
      <c r="Q76" s="11">
        <f t="shared" si="24"/>
        <v>9430.7489999999998</v>
      </c>
      <c r="R76" s="11">
        <f t="shared" si="24"/>
        <v>9430.7489999999998</v>
      </c>
      <c r="S76" s="11">
        <f t="shared" si="24"/>
        <v>9430.7489999999998</v>
      </c>
      <c r="T76" s="11">
        <f t="shared" si="24"/>
        <v>9430.7489999999998</v>
      </c>
      <c r="U76" s="11">
        <f t="shared" si="24"/>
        <v>9430.7489999999998</v>
      </c>
      <c r="V76" s="39"/>
    </row>
    <row r="77" spans="1:22" ht="15.75" x14ac:dyDescent="0.25">
      <c r="A77" s="40">
        <v>23</v>
      </c>
      <c r="B77" s="7" t="s">
        <v>29</v>
      </c>
      <c r="C77" s="6" t="s">
        <v>4</v>
      </c>
      <c r="D77" s="10" t="s">
        <v>116</v>
      </c>
      <c r="E77" s="10" t="s">
        <v>116</v>
      </c>
      <c r="F77" s="10" t="s">
        <v>116</v>
      </c>
      <c r="G77" s="10" t="s">
        <v>116</v>
      </c>
      <c r="H77" s="10" t="s">
        <v>116</v>
      </c>
      <c r="I77" s="10" t="s">
        <v>116</v>
      </c>
      <c r="J77" s="10" t="s">
        <v>116</v>
      </c>
      <c r="K77" s="10" t="s">
        <v>116</v>
      </c>
      <c r="L77" s="10" t="s">
        <v>116</v>
      </c>
      <c r="M77" s="10" t="s">
        <v>116</v>
      </c>
      <c r="N77" s="10" t="s">
        <v>116</v>
      </c>
      <c r="O77" s="10" t="s">
        <v>116</v>
      </c>
      <c r="P77" s="10" t="s">
        <v>116</v>
      </c>
      <c r="Q77" s="10" t="s">
        <v>116</v>
      </c>
      <c r="R77" s="10" t="s">
        <v>116</v>
      </c>
      <c r="S77" s="10" t="s">
        <v>116</v>
      </c>
      <c r="T77" s="10" t="s">
        <v>116</v>
      </c>
      <c r="U77" s="10" t="s">
        <v>116</v>
      </c>
      <c r="V77" s="39"/>
    </row>
    <row r="78" spans="1:22" ht="15.75" x14ac:dyDescent="0.25">
      <c r="A78" s="40">
        <v>24</v>
      </c>
      <c r="B78" s="7" t="s">
        <v>30</v>
      </c>
      <c r="C78" s="6" t="s">
        <v>4</v>
      </c>
      <c r="D78" s="10" t="s">
        <v>116</v>
      </c>
      <c r="E78" s="10" t="s">
        <v>116</v>
      </c>
      <c r="F78" s="10" t="s">
        <v>116</v>
      </c>
      <c r="G78" s="10" t="s">
        <v>116</v>
      </c>
      <c r="H78" s="10" t="s">
        <v>116</v>
      </c>
      <c r="I78" s="10" t="s">
        <v>116</v>
      </c>
      <c r="J78" s="10" t="s">
        <v>116</v>
      </c>
      <c r="K78" s="10" t="s">
        <v>116</v>
      </c>
      <c r="L78" s="10" t="s">
        <v>116</v>
      </c>
      <c r="M78" s="10" t="s">
        <v>116</v>
      </c>
      <c r="N78" s="10" t="s">
        <v>116</v>
      </c>
      <c r="O78" s="10" t="s">
        <v>116</v>
      </c>
      <c r="P78" s="10" t="s">
        <v>116</v>
      </c>
      <c r="Q78" s="10" t="s">
        <v>116</v>
      </c>
      <c r="R78" s="10" t="s">
        <v>116</v>
      </c>
      <c r="S78" s="10" t="s">
        <v>116</v>
      </c>
      <c r="T78" s="10" t="s">
        <v>116</v>
      </c>
      <c r="U78" s="10" t="s">
        <v>116</v>
      </c>
      <c r="V78" s="39"/>
    </row>
    <row r="79" spans="1:22" x14ac:dyDescent="0.25">
      <c r="A79" s="40">
        <v>25</v>
      </c>
      <c r="B79" s="6" t="s">
        <v>31</v>
      </c>
      <c r="C79" s="6" t="s">
        <v>4</v>
      </c>
      <c r="D79" s="10" t="s">
        <v>105</v>
      </c>
      <c r="E79" s="10" t="s">
        <v>105</v>
      </c>
      <c r="F79" s="10" t="s">
        <v>105</v>
      </c>
      <c r="G79" s="10" t="s">
        <v>105</v>
      </c>
      <c r="H79" s="10" t="s">
        <v>105</v>
      </c>
      <c r="I79" s="10" t="s">
        <v>105</v>
      </c>
      <c r="J79" s="10" t="s">
        <v>105</v>
      </c>
      <c r="K79" s="10" t="s">
        <v>105</v>
      </c>
      <c r="L79" s="10" t="s">
        <v>105</v>
      </c>
      <c r="M79" s="10" t="s">
        <v>105</v>
      </c>
      <c r="N79" s="10" t="s">
        <v>105</v>
      </c>
      <c r="O79" s="10" t="s">
        <v>105</v>
      </c>
      <c r="P79" s="10" t="s">
        <v>105</v>
      </c>
      <c r="Q79" s="10" t="s">
        <v>105</v>
      </c>
      <c r="R79" s="10" t="s">
        <v>105</v>
      </c>
      <c r="S79" s="10" t="s">
        <v>105</v>
      </c>
      <c r="T79" s="10" t="s">
        <v>105</v>
      </c>
      <c r="U79" s="10" t="s">
        <v>105</v>
      </c>
      <c r="V79" s="39"/>
    </row>
    <row r="80" spans="1:22" x14ac:dyDescent="0.25">
      <c r="A80" s="40">
        <v>26</v>
      </c>
      <c r="B80" s="6" t="s">
        <v>32</v>
      </c>
      <c r="C80" s="6" t="s">
        <v>39</v>
      </c>
      <c r="D80" s="11">
        <f>D76/D3/9</f>
        <v>2.8800000000000003</v>
      </c>
      <c r="E80" s="11">
        <f t="shared" ref="E80:G80" si="25">E76/E3/9</f>
        <v>2.8799999999999994</v>
      </c>
      <c r="F80" s="11">
        <f t="shared" si="25"/>
        <v>2.88</v>
      </c>
      <c r="G80" s="11">
        <f t="shared" si="25"/>
        <v>2.88</v>
      </c>
      <c r="H80" s="11">
        <f>H76/H3/4</f>
        <v>1.6825000000000001</v>
      </c>
      <c r="I80" s="11">
        <f t="shared" ref="I80:U80" si="26">I76/I3/4</f>
        <v>1.6825000000000001</v>
      </c>
      <c r="J80" s="11">
        <f t="shared" si="26"/>
        <v>1.6825000000000001</v>
      </c>
      <c r="K80" s="11">
        <f t="shared" si="26"/>
        <v>1.6825000000000001</v>
      </c>
      <c r="L80" s="11">
        <f t="shared" si="26"/>
        <v>1.6825000000000001</v>
      </c>
      <c r="M80" s="11">
        <f t="shared" si="26"/>
        <v>1.6825000000000001</v>
      </c>
      <c r="N80" s="11">
        <f t="shared" si="26"/>
        <v>1.6825000000000001</v>
      </c>
      <c r="O80" s="11">
        <f t="shared" si="26"/>
        <v>1.6825000000000001</v>
      </c>
      <c r="P80" s="11">
        <f t="shared" si="26"/>
        <v>1.6825000000000001</v>
      </c>
      <c r="Q80" s="11">
        <f t="shared" si="26"/>
        <v>1.6825000000000001</v>
      </c>
      <c r="R80" s="11">
        <f t="shared" si="26"/>
        <v>1.6825000000000001</v>
      </c>
      <c r="S80" s="11">
        <f t="shared" si="26"/>
        <v>1.6825000000000001</v>
      </c>
      <c r="T80" s="11">
        <f t="shared" si="26"/>
        <v>1.6825000000000001</v>
      </c>
      <c r="U80" s="11">
        <f t="shared" si="26"/>
        <v>1.6825000000000001</v>
      </c>
      <c r="V80" s="39"/>
    </row>
    <row r="81" spans="1:22" ht="15.75" x14ac:dyDescent="0.25">
      <c r="A81" s="40">
        <v>21</v>
      </c>
      <c r="B81" s="15" t="s">
        <v>27</v>
      </c>
      <c r="C81" s="6" t="s">
        <v>4</v>
      </c>
      <c r="D81" s="12" t="s">
        <v>181</v>
      </c>
      <c r="E81" s="12" t="s">
        <v>181</v>
      </c>
      <c r="F81" s="12" t="s">
        <v>181</v>
      </c>
      <c r="G81" s="12" t="s">
        <v>181</v>
      </c>
      <c r="H81" s="12" t="s">
        <v>181</v>
      </c>
      <c r="I81" s="12" t="s">
        <v>181</v>
      </c>
      <c r="J81" s="12" t="s">
        <v>181</v>
      </c>
      <c r="K81" s="12" t="s">
        <v>181</v>
      </c>
      <c r="L81" s="12" t="s">
        <v>181</v>
      </c>
      <c r="M81" s="12" t="s">
        <v>181</v>
      </c>
      <c r="N81" s="12" t="s">
        <v>181</v>
      </c>
      <c r="O81" s="12" t="s">
        <v>181</v>
      </c>
      <c r="P81" s="12" t="s">
        <v>181</v>
      </c>
      <c r="Q81" s="12" t="s">
        <v>181</v>
      </c>
      <c r="R81" s="12" t="s">
        <v>181</v>
      </c>
      <c r="S81" s="12" t="s">
        <v>181</v>
      </c>
      <c r="T81" s="12" t="s">
        <v>181</v>
      </c>
      <c r="U81" s="12" t="s">
        <v>181</v>
      </c>
      <c r="V81" s="39"/>
    </row>
    <row r="82" spans="1:22" ht="15.75" x14ac:dyDescent="0.25">
      <c r="A82" s="40">
        <v>22</v>
      </c>
      <c r="B82" s="7" t="s">
        <v>28</v>
      </c>
      <c r="C82" s="6" t="s">
        <v>39</v>
      </c>
      <c r="D82" s="10"/>
      <c r="E82" s="10"/>
      <c r="F82" s="10"/>
      <c r="G82" s="10"/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39"/>
    </row>
    <row r="83" spans="1:22" ht="15.75" x14ac:dyDescent="0.25">
      <c r="A83" s="40">
        <v>23</v>
      </c>
      <c r="B83" s="7" t="s">
        <v>29</v>
      </c>
      <c r="C83" s="6" t="s">
        <v>4</v>
      </c>
      <c r="D83" s="10" t="s">
        <v>116</v>
      </c>
      <c r="E83" s="10" t="s">
        <v>116</v>
      </c>
      <c r="F83" s="10" t="s">
        <v>116</v>
      </c>
      <c r="G83" s="10" t="s">
        <v>116</v>
      </c>
      <c r="H83" s="10" t="s">
        <v>116</v>
      </c>
      <c r="I83" s="10" t="s">
        <v>116</v>
      </c>
      <c r="J83" s="10" t="s">
        <v>116</v>
      </c>
      <c r="K83" s="10" t="s">
        <v>116</v>
      </c>
      <c r="L83" s="10" t="s">
        <v>116</v>
      </c>
      <c r="M83" s="10" t="s">
        <v>116</v>
      </c>
      <c r="N83" s="10" t="s">
        <v>116</v>
      </c>
      <c r="O83" s="10" t="s">
        <v>116</v>
      </c>
      <c r="P83" s="10" t="s">
        <v>116</v>
      </c>
      <c r="Q83" s="10" t="s">
        <v>116</v>
      </c>
      <c r="R83" s="10" t="s">
        <v>116</v>
      </c>
      <c r="S83" s="10" t="s">
        <v>116</v>
      </c>
      <c r="T83" s="10" t="s">
        <v>116</v>
      </c>
      <c r="U83" s="10" t="s">
        <v>116</v>
      </c>
      <c r="V83" s="39"/>
    </row>
    <row r="84" spans="1:22" ht="15.75" x14ac:dyDescent="0.25">
      <c r="A84" s="40">
        <v>24</v>
      </c>
      <c r="B84" s="7" t="s">
        <v>30</v>
      </c>
      <c r="C84" s="6" t="s">
        <v>4</v>
      </c>
      <c r="D84" s="10" t="s">
        <v>116</v>
      </c>
      <c r="E84" s="10" t="s">
        <v>116</v>
      </c>
      <c r="F84" s="10" t="s">
        <v>116</v>
      </c>
      <c r="G84" s="10" t="s">
        <v>116</v>
      </c>
      <c r="H84" s="10" t="s">
        <v>116</v>
      </c>
      <c r="I84" s="10" t="s">
        <v>116</v>
      </c>
      <c r="J84" s="10" t="s">
        <v>116</v>
      </c>
      <c r="K84" s="10" t="s">
        <v>116</v>
      </c>
      <c r="L84" s="10" t="s">
        <v>116</v>
      </c>
      <c r="M84" s="10" t="s">
        <v>116</v>
      </c>
      <c r="N84" s="10" t="s">
        <v>116</v>
      </c>
      <c r="O84" s="10" t="s">
        <v>116</v>
      </c>
      <c r="P84" s="10" t="s">
        <v>116</v>
      </c>
      <c r="Q84" s="10" t="s">
        <v>116</v>
      </c>
      <c r="R84" s="10" t="s">
        <v>116</v>
      </c>
      <c r="S84" s="10" t="s">
        <v>116</v>
      </c>
      <c r="T84" s="10" t="s">
        <v>116</v>
      </c>
      <c r="U84" s="10" t="s">
        <v>116</v>
      </c>
      <c r="V84" s="39"/>
    </row>
    <row r="85" spans="1:22" x14ac:dyDescent="0.25">
      <c r="A85" s="40">
        <v>25</v>
      </c>
      <c r="B85" s="6" t="s">
        <v>31</v>
      </c>
      <c r="C85" s="6" t="s">
        <v>4</v>
      </c>
      <c r="D85" s="10" t="s">
        <v>105</v>
      </c>
      <c r="E85" s="10" t="s">
        <v>105</v>
      </c>
      <c r="F85" s="10" t="s">
        <v>105</v>
      </c>
      <c r="G85" s="10" t="s">
        <v>105</v>
      </c>
      <c r="H85" s="10" t="s">
        <v>105</v>
      </c>
      <c r="I85" s="10" t="s">
        <v>105</v>
      </c>
      <c r="J85" s="10" t="s">
        <v>105</v>
      </c>
      <c r="K85" s="10" t="s">
        <v>105</v>
      </c>
      <c r="L85" s="10" t="s">
        <v>105</v>
      </c>
      <c r="M85" s="10" t="s">
        <v>105</v>
      </c>
      <c r="N85" s="10" t="s">
        <v>105</v>
      </c>
      <c r="O85" s="10" t="s">
        <v>105</v>
      </c>
      <c r="P85" s="10" t="s">
        <v>105</v>
      </c>
      <c r="Q85" s="10" t="s">
        <v>105</v>
      </c>
      <c r="R85" s="10" t="s">
        <v>105</v>
      </c>
      <c r="S85" s="10" t="s">
        <v>105</v>
      </c>
      <c r="T85" s="10" t="s">
        <v>105</v>
      </c>
      <c r="U85" s="10" t="s">
        <v>105</v>
      </c>
      <c r="V85" s="39"/>
    </row>
    <row r="86" spans="1:22" x14ac:dyDescent="0.25">
      <c r="A86" s="40">
        <v>26</v>
      </c>
      <c r="B86" s="6" t="s">
        <v>32</v>
      </c>
      <c r="C86" s="6" t="s">
        <v>39</v>
      </c>
      <c r="D86" s="11">
        <f>D82/D3/9</f>
        <v>0</v>
      </c>
      <c r="E86" s="11">
        <f t="shared" ref="E86:G86" si="27">E82/E3/9</f>
        <v>0</v>
      </c>
      <c r="F86" s="11">
        <f t="shared" si="27"/>
        <v>0</v>
      </c>
      <c r="G86" s="11">
        <f t="shared" si="27"/>
        <v>0</v>
      </c>
      <c r="H86" s="11">
        <f t="shared" ref="H86:U86" si="28">H82/H3</f>
        <v>0</v>
      </c>
      <c r="I86" s="11">
        <f t="shared" si="28"/>
        <v>0</v>
      </c>
      <c r="J86" s="11">
        <f t="shared" si="28"/>
        <v>0</v>
      </c>
      <c r="K86" s="11">
        <f t="shared" si="28"/>
        <v>0</v>
      </c>
      <c r="L86" s="11">
        <f t="shared" si="28"/>
        <v>0</v>
      </c>
      <c r="M86" s="11">
        <f t="shared" si="28"/>
        <v>0</v>
      </c>
      <c r="N86" s="11">
        <f t="shared" si="28"/>
        <v>0</v>
      </c>
      <c r="O86" s="11">
        <f t="shared" si="28"/>
        <v>0</v>
      </c>
      <c r="P86" s="11">
        <f t="shared" si="28"/>
        <v>0</v>
      </c>
      <c r="Q86" s="11">
        <f t="shared" si="28"/>
        <v>0</v>
      </c>
      <c r="R86" s="11">
        <f t="shared" si="28"/>
        <v>0</v>
      </c>
      <c r="S86" s="11">
        <f t="shared" si="28"/>
        <v>0</v>
      </c>
      <c r="T86" s="11">
        <f t="shared" si="28"/>
        <v>0</v>
      </c>
      <c r="U86" s="11">
        <f t="shared" si="28"/>
        <v>0</v>
      </c>
      <c r="V86" s="39"/>
    </row>
    <row r="87" spans="1:22" ht="15.75" hidden="1" x14ac:dyDescent="0.25">
      <c r="A87" s="40">
        <v>21</v>
      </c>
      <c r="B87" s="15" t="s">
        <v>27</v>
      </c>
      <c r="C87" s="6" t="s">
        <v>4</v>
      </c>
      <c r="D87" s="12" t="s">
        <v>112</v>
      </c>
      <c r="E87" s="12" t="s">
        <v>112</v>
      </c>
      <c r="F87" s="12" t="s">
        <v>112</v>
      </c>
      <c r="G87" s="12" t="s">
        <v>112</v>
      </c>
      <c r="H87" s="12" t="s">
        <v>112</v>
      </c>
      <c r="I87" s="12" t="s">
        <v>112</v>
      </c>
      <c r="J87" s="12" t="s">
        <v>112</v>
      </c>
      <c r="K87" s="12" t="s">
        <v>112</v>
      </c>
      <c r="L87" s="12" t="s">
        <v>112</v>
      </c>
      <c r="M87" s="12" t="s">
        <v>112</v>
      </c>
      <c r="N87" s="12" t="s">
        <v>112</v>
      </c>
      <c r="O87" s="12" t="s">
        <v>112</v>
      </c>
      <c r="P87" s="12" t="s">
        <v>112</v>
      </c>
      <c r="Q87" s="12" t="s">
        <v>112</v>
      </c>
      <c r="R87" s="12" t="s">
        <v>112</v>
      </c>
      <c r="S87" s="12" t="s">
        <v>112</v>
      </c>
      <c r="T87" s="12" t="s">
        <v>112</v>
      </c>
      <c r="U87" s="12" t="s">
        <v>112</v>
      </c>
      <c r="V87" s="39"/>
    </row>
    <row r="88" spans="1:22" ht="15.75" hidden="1" x14ac:dyDescent="0.25">
      <c r="A88" s="40">
        <v>22</v>
      </c>
      <c r="B88" s="7" t="s">
        <v>28</v>
      </c>
      <c r="C88" s="6" t="s">
        <v>39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39"/>
    </row>
    <row r="89" spans="1:22" ht="15.75" hidden="1" x14ac:dyDescent="0.25">
      <c r="A89" s="40">
        <v>23</v>
      </c>
      <c r="B89" s="7" t="s">
        <v>29</v>
      </c>
      <c r="C89" s="6" t="s">
        <v>4</v>
      </c>
      <c r="D89" s="10" t="s">
        <v>116</v>
      </c>
      <c r="E89" s="10" t="s">
        <v>116</v>
      </c>
      <c r="F89" s="10" t="s">
        <v>116</v>
      </c>
      <c r="G89" s="10" t="s">
        <v>116</v>
      </c>
      <c r="H89" s="10" t="s">
        <v>116</v>
      </c>
      <c r="I89" s="10" t="s">
        <v>116</v>
      </c>
      <c r="J89" s="10" t="s">
        <v>116</v>
      </c>
      <c r="K89" s="10" t="s">
        <v>116</v>
      </c>
      <c r="L89" s="10" t="s">
        <v>116</v>
      </c>
      <c r="M89" s="10" t="s">
        <v>116</v>
      </c>
      <c r="N89" s="10" t="s">
        <v>116</v>
      </c>
      <c r="O89" s="10" t="s">
        <v>116</v>
      </c>
      <c r="P89" s="10" t="s">
        <v>116</v>
      </c>
      <c r="Q89" s="10" t="s">
        <v>116</v>
      </c>
      <c r="R89" s="10" t="s">
        <v>116</v>
      </c>
      <c r="S89" s="10" t="s">
        <v>116</v>
      </c>
      <c r="T89" s="10" t="s">
        <v>116</v>
      </c>
      <c r="U89" s="10" t="s">
        <v>116</v>
      </c>
      <c r="V89" s="39"/>
    </row>
    <row r="90" spans="1:22" ht="15.75" hidden="1" x14ac:dyDescent="0.25">
      <c r="A90" s="40">
        <v>24</v>
      </c>
      <c r="B90" s="7" t="s">
        <v>30</v>
      </c>
      <c r="C90" s="6" t="s">
        <v>4</v>
      </c>
      <c r="D90" s="10" t="s">
        <v>116</v>
      </c>
      <c r="E90" s="10" t="s">
        <v>116</v>
      </c>
      <c r="F90" s="10" t="s">
        <v>116</v>
      </c>
      <c r="G90" s="10" t="s">
        <v>116</v>
      </c>
      <c r="H90" s="10" t="s">
        <v>116</v>
      </c>
      <c r="I90" s="10" t="s">
        <v>116</v>
      </c>
      <c r="J90" s="10" t="s">
        <v>116</v>
      </c>
      <c r="K90" s="10" t="s">
        <v>116</v>
      </c>
      <c r="L90" s="10" t="s">
        <v>116</v>
      </c>
      <c r="M90" s="10" t="s">
        <v>116</v>
      </c>
      <c r="N90" s="10" t="s">
        <v>116</v>
      </c>
      <c r="O90" s="10" t="s">
        <v>116</v>
      </c>
      <c r="P90" s="10" t="s">
        <v>116</v>
      </c>
      <c r="Q90" s="10" t="s">
        <v>116</v>
      </c>
      <c r="R90" s="10" t="s">
        <v>116</v>
      </c>
      <c r="S90" s="10" t="s">
        <v>116</v>
      </c>
      <c r="T90" s="10" t="s">
        <v>116</v>
      </c>
      <c r="U90" s="10" t="s">
        <v>116</v>
      </c>
      <c r="V90" s="39"/>
    </row>
    <row r="91" spans="1:22" hidden="1" x14ac:dyDescent="0.25">
      <c r="A91" s="40">
        <v>25</v>
      </c>
      <c r="B91" s="6" t="s">
        <v>31</v>
      </c>
      <c r="C91" s="6" t="s">
        <v>4</v>
      </c>
      <c r="D91" s="10" t="s">
        <v>105</v>
      </c>
      <c r="E91" s="10" t="s">
        <v>105</v>
      </c>
      <c r="F91" s="10" t="s">
        <v>105</v>
      </c>
      <c r="G91" s="10" t="s">
        <v>105</v>
      </c>
      <c r="H91" s="10" t="s">
        <v>105</v>
      </c>
      <c r="I91" s="10" t="s">
        <v>105</v>
      </c>
      <c r="J91" s="10" t="s">
        <v>105</v>
      </c>
      <c r="K91" s="10" t="s">
        <v>105</v>
      </c>
      <c r="L91" s="10" t="s">
        <v>105</v>
      </c>
      <c r="M91" s="10" t="s">
        <v>105</v>
      </c>
      <c r="N91" s="10" t="s">
        <v>105</v>
      </c>
      <c r="O91" s="10" t="s">
        <v>105</v>
      </c>
      <c r="P91" s="10" t="s">
        <v>105</v>
      </c>
      <c r="Q91" s="10" t="s">
        <v>105</v>
      </c>
      <c r="R91" s="10" t="s">
        <v>105</v>
      </c>
      <c r="S91" s="10" t="s">
        <v>105</v>
      </c>
      <c r="T91" s="10" t="s">
        <v>105</v>
      </c>
      <c r="U91" s="10" t="s">
        <v>105</v>
      </c>
      <c r="V91" s="39"/>
    </row>
    <row r="92" spans="1:22" hidden="1" x14ac:dyDescent="0.25">
      <c r="A92" s="40">
        <v>26</v>
      </c>
      <c r="B92" s="6" t="s">
        <v>32</v>
      </c>
      <c r="C92" s="6" t="s">
        <v>39</v>
      </c>
      <c r="D92" s="11">
        <f>D88/D3</f>
        <v>0</v>
      </c>
      <c r="E92" s="11">
        <f t="shared" ref="E92:U92" si="29">E88/E3</f>
        <v>0</v>
      </c>
      <c r="F92" s="11">
        <f t="shared" si="29"/>
        <v>0</v>
      </c>
      <c r="G92" s="11">
        <f t="shared" si="29"/>
        <v>0</v>
      </c>
      <c r="H92" s="11">
        <f t="shared" si="29"/>
        <v>0</v>
      </c>
      <c r="I92" s="11">
        <f t="shared" si="29"/>
        <v>0</v>
      </c>
      <c r="J92" s="11">
        <f t="shared" si="29"/>
        <v>0</v>
      </c>
      <c r="K92" s="11">
        <f t="shared" si="29"/>
        <v>0</v>
      </c>
      <c r="L92" s="11">
        <f t="shared" si="29"/>
        <v>0</v>
      </c>
      <c r="M92" s="11">
        <f t="shared" si="29"/>
        <v>0</v>
      </c>
      <c r="N92" s="11">
        <f t="shared" si="29"/>
        <v>0</v>
      </c>
      <c r="O92" s="11">
        <f t="shared" si="29"/>
        <v>0</v>
      </c>
      <c r="P92" s="11">
        <f t="shared" si="29"/>
        <v>0</v>
      </c>
      <c r="Q92" s="11">
        <f t="shared" si="29"/>
        <v>0</v>
      </c>
      <c r="R92" s="11">
        <f t="shared" si="29"/>
        <v>0</v>
      </c>
      <c r="S92" s="11">
        <f t="shared" si="29"/>
        <v>0</v>
      </c>
      <c r="T92" s="11">
        <f t="shared" si="29"/>
        <v>0</v>
      </c>
      <c r="U92" s="11">
        <f t="shared" si="29"/>
        <v>0</v>
      </c>
      <c r="V92" s="39"/>
    </row>
    <row r="93" spans="1:22" ht="15.75" x14ac:dyDescent="0.25">
      <c r="A93" s="40">
        <v>21</v>
      </c>
      <c r="B93" s="15" t="s">
        <v>27</v>
      </c>
      <c r="C93" s="6" t="s">
        <v>4</v>
      </c>
      <c r="D93" s="12" t="s">
        <v>106</v>
      </c>
      <c r="E93" s="12" t="s">
        <v>106</v>
      </c>
      <c r="F93" s="12" t="s">
        <v>106</v>
      </c>
      <c r="G93" s="12" t="s">
        <v>106</v>
      </c>
      <c r="H93" s="12" t="s">
        <v>106</v>
      </c>
      <c r="I93" s="12" t="s">
        <v>106</v>
      </c>
      <c r="J93" s="12" t="s">
        <v>106</v>
      </c>
      <c r="K93" s="12" t="s">
        <v>106</v>
      </c>
      <c r="L93" s="12" t="s">
        <v>106</v>
      </c>
      <c r="M93" s="12" t="s">
        <v>106</v>
      </c>
      <c r="N93" s="12" t="s">
        <v>106</v>
      </c>
      <c r="O93" s="12" t="s">
        <v>106</v>
      </c>
      <c r="P93" s="12" t="s">
        <v>106</v>
      </c>
      <c r="Q93" s="12" t="s">
        <v>106</v>
      </c>
      <c r="R93" s="12" t="s">
        <v>106</v>
      </c>
      <c r="S93" s="12" t="s">
        <v>106</v>
      </c>
      <c r="T93" s="12" t="s">
        <v>106</v>
      </c>
      <c r="U93" s="12" t="s">
        <v>106</v>
      </c>
      <c r="V93" s="39"/>
    </row>
    <row r="94" spans="1:22" ht="15.75" x14ac:dyDescent="0.25">
      <c r="A94" s="40">
        <v>22</v>
      </c>
      <c r="B94" s="7" t="s">
        <v>28</v>
      </c>
      <c r="C94" s="6" t="s">
        <v>39</v>
      </c>
      <c r="D94" s="10">
        <v>32620</v>
      </c>
      <c r="E94" s="10">
        <v>37053</v>
      </c>
      <c r="F94" s="10">
        <v>29965.95</v>
      </c>
      <c r="G94" s="10">
        <v>37131</v>
      </c>
      <c r="H94" s="10">
        <f>+H3*7.31</f>
        <v>10243.502999999999</v>
      </c>
      <c r="I94" s="10">
        <f t="shared" ref="I94:U94" si="30">+I3*7.31</f>
        <v>11542.49</v>
      </c>
      <c r="J94" s="10">
        <f t="shared" si="30"/>
        <v>11501.554</v>
      </c>
      <c r="K94" s="10">
        <f t="shared" si="30"/>
        <v>10243.502999999999</v>
      </c>
      <c r="L94" s="10">
        <f t="shared" si="30"/>
        <v>11493.512999999999</v>
      </c>
      <c r="M94" s="10">
        <f t="shared" si="30"/>
        <v>10243.502999999999</v>
      </c>
      <c r="N94" s="10">
        <f t="shared" si="30"/>
        <v>10243.502999999999</v>
      </c>
      <c r="O94" s="10">
        <f t="shared" si="30"/>
        <v>4723.7219999999998</v>
      </c>
      <c r="P94" s="10">
        <f t="shared" si="30"/>
        <v>4568.75</v>
      </c>
      <c r="Q94" s="10">
        <f t="shared" si="30"/>
        <v>10243.502999999999</v>
      </c>
      <c r="R94" s="10">
        <f t="shared" si="30"/>
        <v>10243.502999999999</v>
      </c>
      <c r="S94" s="10">
        <f t="shared" si="30"/>
        <v>10243.502999999999</v>
      </c>
      <c r="T94" s="10">
        <f t="shared" si="30"/>
        <v>10243.502999999999</v>
      </c>
      <c r="U94" s="10">
        <f t="shared" si="30"/>
        <v>10243.502999999999</v>
      </c>
      <c r="V94" s="39"/>
    </row>
    <row r="95" spans="1:22" ht="15.75" x14ac:dyDescent="0.25">
      <c r="A95" s="40">
        <v>23</v>
      </c>
      <c r="B95" s="7" t="s">
        <v>29</v>
      </c>
      <c r="C95" s="6" t="s">
        <v>4</v>
      </c>
      <c r="D95" s="10" t="s">
        <v>116</v>
      </c>
      <c r="E95" s="10" t="s">
        <v>116</v>
      </c>
      <c r="F95" s="10" t="s">
        <v>116</v>
      </c>
      <c r="G95" s="10" t="s">
        <v>116</v>
      </c>
      <c r="H95" s="10" t="s">
        <v>116</v>
      </c>
      <c r="I95" s="10" t="s">
        <v>116</v>
      </c>
      <c r="J95" s="10" t="s">
        <v>116</v>
      </c>
      <c r="K95" s="10" t="s">
        <v>116</v>
      </c>
      <c r="L95" s="10" t="s">
        <v>116</v>
      </c>
      <c r="M95" s="10" t="s">
        <v>116</v>
      </c>
      <c r="N95" s="10" t="s">
        <v>116</v>
      </c>
      <c r="O95" s="10" t="s">
        <v>116</v>
      </c>
      <c r="P95" s="10" t="s">
        <v>116</v>
      </c>
      <c r="Q95" s="10" t="s">
        <v>116</v>
      </c>
      <c r="R95" s="10" t="s">
        <v>116</v>
      </c>
      <c r="S95" s="10" t="s">
        <v>116</v>
      </c>
      <c r="T95" s="10" t="s">
        <v>116</v>
      </c>
      <c r="U95" s="10" t="s">
        <v>116</v>
      </c>
      <c r="V95" s="39"/>
    </row>
    <row r="96" spans="1:22" ht="15.75" x14ac:dyDescent="0.25">
      <c r="A96" s="40">
        <v>24</v>
      </c>
      <c r="B96" s="7" t="s">
        <v>30</v>
      </c>
      <c r="C96" s="6" t="s">
        <v>4</v>
      </c>
      <c r="D96" s="10" t="s">
        <v>116</v>
      </c>
      <c r="E96" s="10" t="s">
        <v>116</v>
      </c>
      <c r="F96" s="10" t="s">
        <v>116</v>
      </c>
      <c r="G96" s="10" t="s">
        <v>116</v>
      </c>
      <c r="H96" s="10" t="s">
        <v>116</v>
      </c>
      <c r="I96" s="10" t="s">
        <v>116</v>
      </c>
      <c r="J96" s="10" t="s">
        <v>116</v>
      </c>
      <c r="K96" s="10" t="s">
        <v>116</v>
      </c>
      <c r="L96" s="10" t="s">
        <v>116</v>
      </c>
      <c r="M96" s="10" t="s">
        <v>116</v>
      </c>
      <c r="N96" s="10" t="s">
        <v>116</v>
      </c>
      <c r="O96" s="10" t="s">
        <v>116</v>
      </c>
      <c r="P96" s="10" t="s">
        <v>116</v>
      </c>
      <c r="Q96" s="10" t="s">
        <v>116</v>
      </c>
      <c r="R96" s="10" t="s">
        <v>116</v>
      </c>
      <c r="S96" s="10" t="s">
        <v>116</v>
      </c>
      <c r="T96" s="10" t="s">
        <v>116</v>
      </c>
      <c r="U96" s="10" t="s">
        <v>116</v>
      </c>
      <c r="V96" s="39"/>
    </row>
    <row r="97" spans="1:22" x14ac:dyDescent="0.25">
      <c r="A97" s="40">
        <v>25</v>
      </c>
      <c r="B97" s="6" t="s">
        <v>31</v>
      </c>
      <c r="C97" s="6" t="s">
        <v>4</v>
      </c>
      <c r="D97" s="10" t="s">
        <v>105</v>
      </c>
      <c r="E97" s="10" t="s">
        <v>105</v>
      </c>
      <c r="F97" s="10" t="s">
        <v>105</v>
      </c>
      <c r="G97" s="10" t="s">
        <v>105</v>
      </c>
      <c r="H97" s="10" t="s">
        <v>105</v>
      </c>
      <c r="I97" s="10" t="s">
        <v>105</v>
      </c>
      <c r="J97" s="10" t="s">
        <v>105</v>
      </c>
      <c r="K97" s="10" t="s">
        <v>105</v>
      </c>
      <c r="L97" s="10" t="s">
        <v>105</v>
      </c>
      <c r="M97" s="10" t="s">
        <v>105</v>
      </c>
      <c r="N97" s="10" t="s">
        <v>105</v>
      </c>
      <c r="O97" s="10" t="s">
        <v>105</v>
      </c>
      <c r="P97" s="10" t="s">
        <v>105</v>
      </c>
      <c r="Q97" s="10" t="s">
        <v>105</v>
      </c>
      <c r="R97" s="10" t="s">
        <v>105</v>
      </c>
      <c r="S97" s="10" t="s">
        <v>105</v>
      </c>
      <c r="T97" s="10" t="s">
        <v>105</v>
      </c>
      <c r="U97" s="10" t="s">
        <v>105</v>
      </c>
      <c r="V97" s="39"/>
    </row>
    <row r="98" spans="1:22" x14ac:dyDescent="0.25">
      <c r="A98" s="40">
        <v>26</v>
      </c>
      <c r="B98" s="6" t="s">
        <v>32</v>
      </c>
      <c r="C98" s="6" t="s">
        <v>39</v>
      </c>
      <c r="D98" s="11">
        <f>D94/D3/9</f>
        <v>2.9400100944552601</v>
      </c>
      <c r="E98" s="11">
        <f t="shared" ref="E98:G98" si="31">E94/E3/9</f>
        <v>2.9419751321995142</v>
      </c>
      <c r="F98" s="11">
        <f t="shared" si="31"/>
        <v>2.94</v>
      </c>
      <c r="G98" s="11">
        <f t="shared" si="31"/>
        <v>2.9441708889364637</v>
      </c>
      <c r="H98" s="11">
        <f>H94/H3/4</f>
        <v>1.8274999999999999</v>
      </c>
      <c r="I98" s="11">
        <f t="shared" ref="I98:U98" si="32">I94/I3/4</f>
        <v>1.8274999999999999</v>
      </c>
      <c r="J98" s="11">
        <f t="shared" si="32"/>
        <v>1.8274999999999999</v>
      </c>
      <c r="K98" s="11">
        <f t="shared" si="32"/>
        <v>1.8274999999999999</v>
      </c>
      <c r="L98" s="11">
        <f t="shared" si="32"/>
        <v>1.8274999999999999</v>
      </c>
      <c r="M98" s="11">
        <f t="shared" si="32"/>
        <v>1.8274999999999999</v>
      </c>
      <c r="N98" s="11">
        <f t="shared" si="32"/>
        <v>1.8274999999999999</v>
      </c>
      <c r="O98" s="11">
        <f t="shared" si="32"/>
        <v>1.8274999999999997</v>
      </c>
      <c r="P98" s="11">
        <f t="shared" si="32"/>
        <v>1.8274999999999999</v>
      </c>
      <c r="Q98" s="11">
        <f t="shared" si="32"/>
        <v>1.8274999999999999</v>
      </c>
      <c r="R98" s="11">
        <f t="shared" si="32"/>
        <v>1.8274999999999999</v>
      </c>
      <c r="S98" s="11">
        <f t="shared" si="32"/>
        <v>1.8274999999999999</v>
      </c>
      <c r="T98" s="11">
        <f t="shared" si="32"/>
        <v>1.8274999999999999</v>
      </c>
      <c r="U98" s="11">
        <f t="shared" si="32"/>
        <v>1.8274999999999999</v>
      </c>
      <c r="V98" s="39"/>
    </row>
    <row r="99" spans="1:22" x14ac:dyDescent="0.25">
      <c r="A99" s="41" t="s">
        <v>33</v>
      </c>
      <c r="B99" s="34"/>
      <c r="C99" s="34"/>
      <c r="D99" s="3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39"/>
    </row>
    <row r="100" spans="1:22" ht="15.75" x14ac:dyDescent="0.25">
      <c r="A100" s="40">
        <v>27</v>
      </c>
      <c r="B100" s="7" t="s">
        <v>34</v>
      </c>
      <c r="C100" s="6" t="s">
        <v>35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9"/>
    </row>
    <row r="101" spans="1:22" ht="15.75" x14ac:dyDescent="0.25">
      <c r="A101" s="40">
        <v>28</v>
      </c>
      <c r="B101" s="7" t="s">
        <v>36</v>
      </c>
      <c r="C101" s="6" t="s">
        <v>35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9"/>
    </row>
    <row r="102" spans="1:22" ht="15.75" x14ac:dyDescent="0.25">
      <c r="A102" s="40">
        <v>29</v>
      </c>
      <c r="B102" s="7" t="s">
        <v>37</v>
      </c>
      <c r="C102" s="6" t="s">
        <v>35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9"/>
    </row>
    <row r="103" spans="1:22" ht="15.75" x14ac:dyDescent="0.25">
      <c r="A103" s="40">
        <v>30</v>
      </c>
      <c r="B103" s="7" t="s">
        <v>38</v>
      </c>
      <c r="C103" s="6" t="s">
        <v>39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9"/>
    </row>
    <row r="104" spans="1:22" x14ac:dyDescent="0.25">
      <c r="A104" s="41" t="s">
        <v>40</v>
      </c>
      <c r="B104" s="34"/>
      <c r="C104" s="34"/>
      <c r="D104" s="3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39"/>
    </row>
    <row r="105" spans="1:22" ht="15.75" x14ac:dyDescent="0.25">
      <c r="A105" s="40">
        <v>31</v>
      </c>
      <c r="B105" s="7" t="s">
        <v>9</v>
      </c>
      <c r="C105" s="6" t="s">
        <v>39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39"/>
    </row>
    <row r="106" spans="1:22" ht="15.75" x14ac:dyDescent="0.25">
      <c r="A106" s="40">
        <v>32</v>
      </c>
      <c r="B106" s="14" t="s">
        <v>10</v>
      </c>
      <c r="C106" s="6" t="s">
        <v>39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39"/>
    </row>
    <row r="107" spans="1:22" ht="15.75" x14ac:dyDescent="0.25">
      <c r="A107" s="40">
        <v>33</v>
      </c>
      <c r="B107" s="7" t="s">
        <v>11</v>
      </c>
      <c r="C107" s="6" t="s">
        <v>39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39"/>
    </row>
    <row r="108" spans="1:22" ht="15.75" x14ac:dyDescent="0.25">
      <c r="A108" s="40">
        <v>34</v>
      </c>
      <c r="B108" s="7" t="s">
        <v>23</v>
      </c>
      <c r="C108" s="6" t="s">
        <v>39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39"/>
    </row>
    <row r="109" spans="1:22" ht="15.75" x14ac:dyDescent="0.25">
      <c r="A109" s="40">
        <v>35</v>
      </c>
      <c r="B109" s="7" t="s">
        <v>24</v>
      </c>
      <c r="C109" s="6" t="s">
        <v>39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39"/>
    </row>
    <row r="110" spans="1:22" ht="15.75" x14ac:dyDescent="0.25">
      <c r="A110" s="40">
        <v>36</v>
      </c>
      <c r="B110" s="7" t="s">
        <v>25</v>
      </c>
      <c r="C110" s="6" t="s">
        <v>39</v>
      </c>
      <c r="D110" s="33">
        <f>+D25</f>
        <v>76762.349999999977</v>
      </c>
      <c r="E110" s="33">
        <f t="shared" ref="E110:U110" si="33">+E25</f>
        <v>86027.65</v>
      </c>
      <c r="F110" s="33">
        <f t="shared" si="33"/>
        <v>77202.699999999983</v>
      </c>
      <c r="G110" s="33">
        <f t="shared" si="33"/>
        <v>125740.74000000002</v>
      </c>
      <c r="H110" s="33">
        <f t="shared" si="33"/>
        <v>85780.19</v>
      </c>
      <c r="I110" s="33">
        <f t="shared" si="33"/>
        <v>114359.62999999999</v>
      </c>
      <c r="J110" s="33">
        <f t="shared" si="33"/>
        <v>102184.65000000002</v>
      </c>
      <c r="K110" s="33">
        <f t="shared" si="33"/>
        <v>89819.98000000001</v>
      </c>
      <c r="L110" s="33">
        <f t="shared" si="33"/>
        <v>82766.26999999996</v>
      </c>
      <c r="M110" s="33">
        <f t="shared" si="33"/>
        <v>75666.909999999974</v>
      </c>
      <c r="N110" s="33">
        <f t="shared" si="33"/>
        <v>72098</v>
      </c>
      <c r="O110" s="33">
        <f t="shared" si="33"/>
        <v>26392.659999999996</v>
      </c>
      <c r="P110" s="33">
        <f t="shared" si="33"/>
        <v>27028.259999999995</v>
      </c>
      <c r="Q110" s="33">
        <f t="shared" si="33"/>
        <v>32820.080000000016</v>
      </c>
      <c r="R110" s="33">
        <f t="shared" si="33"/>
        <v>38149.089999999997</v>
      </c>
      <c r="S110" s="33">
        <f t="shared" si="33"/>
        <v>69772.200000000012</v>
      </c>
      <c r="T110" s="33">
        <f t="shared" si="33"/>
        <v>60375.650000000023</v>
      </c>
      <c r="U110" s="33">
        <f t="shared" si="33"/>
        <v>17213.959999999992</v>
      </c>
      <c r="V110" s="39"/>
    </row>
    <row r="111" spans="1:22" x14ac:dyDescent="0.25">
      <c r="A111" s="41" t="s">
        <v>41</v>
      </c>
      <c r="B111" s="34"/>
      <c r="C111" s="34"/>
      <c r="D111" s="3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39"/>
    </row>
    <row r="112" spans="1:22" ht="15.75" x14ac:dyDescent="0.25">
      <c r="A112" s="40">
        <v>37</v>
      </c>
      <c r="B112" s="14" t="s">
        <v>42</v>
      </c>
      <c r="C112" s="6" t="s">
        <v>4</v>
      </c>
      <c r="D112" s="56" t="s">
        <v>56</v>
      </c>
      <c r="E112" s="56" t="s">
        <v>56</v>
      </c>
      <c r="F112" s="56" t="s">
        <v>56</v>
      </c>
      <c r="G112" s="56" t="s">
        <v>56</v>
      </c>
      <c r="H112" s="56" t="s">
        <v>56</v>
      </c>
      <c r="I112" s="56" t="s">
        <v>56</v>
      </c>
      <c r="J112" s="56" t="s">
        <v>56</v>
      </c>
      <c r="K112" s="56" t="s">
        <v>56</v>
      </c>
      <c r="L112" s="56" t="s">
        <v>56</v>
      </c>
      <c r="M112" s="56" t="s">
        <v>56</v>
      </c>
      <c r="N112" s="56" t="s">
        <v>56</v>
      </c>
      <c r="O112" s="56" t="s">
        <v>56</v>
      </c>
      <c r="P112" s="56" t="s">
        <v>56</v>
      </c>
      <c r="Q112" s="56" t="s">
        <v>56</v>
      </c>
      <c r="R112" s="56" t="s">
        <v>56</v>
      </c>
      <c r="S112" s="56" t="s">
        <v>56</v>
      </c>
      <c r="T112" s="56" t="s">
        <v>56</v>
      </c>
      <c r="U112" s="56" t="s">
        <v>56</v>
      </c>
      <c r="V112" s="39"/>
    </row>
    <row r="113" spans="1:22" ht="15.75" x14ac:dyDescent="0.25">
      <c r="A113" s="40">
        <v>38</v>
      </c>
      <c r="B113" s="7" t="s">
        <v>31</v>
      </c>
      <c r="C113" s="6" t="s">
        <v>4</v>
      </c>
      <c r="D113" s="57" t="s">
        <v>57</v>
      </c>
      <c r="E113" s="57" t="s">
        <v>57</v>
      </c>
      <c r="F113" s="57" t="s">
        <v>57</v>
      </c>
      <c r="G113" s="57" t="s">
        <v>57</v>
      </c>
      <c r="H113" s="57" t="s">
        <v>57</v>
      </c>
      <c r="I113" s="57" t="s">
        <v>57</v>
      </c>
      <c r="J113" s="57" t="s">
        <v>57</v>
      </c>
      <c r="K113" s="57" t="s">
        <v>57</v>
      </c>
      <c r="L113" s="57" t="s">
        <v>57</v>
      </c>
      <c r="M113" s="57" t="s">
        <v>57</v>
      </c>
      <c r="N113" s="57" t="s">
        <v>57</v>
      </c>
      <c r="O113" s="57" t="s">
        <v>57</v>
      </c>
      <c r="P113" s="57" t="s">
        <v>57</v>
      </c>
      <c r="Q113" s="57" t="s">
        <v>57</v>
      </c>
      <c r="R113" s="57" t="s">
        <v>57</v>
      </c>
      <c r="S113" s="57" t="s">
        <v>57</v>
      </c>
      <c r="T113" s="57" t="s">
        <v>57</v>
      </c>
      <c r="U113" s="57" t="s">
        <v>57</v>
      </c>
      <c r="V113" s="39"/>
    </row>
    <row r="114" spans="1:22" ht="15.75" x14ac:dyDescent="0.25">
      <c r="A114" s="40">
        <v>39</v>
      </c>
      <c r="B114" s="7" t="s">
        <v>43</v>
      </c>
      <c r="C114" s="6" t="s">
        <v>4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39"/>
    </row>
    <row r="115" spans="1:22" ht="15.75" x14ac:dyDescent="0.25">
      <c r="A115" s="40">
        <v>40</v>
      </c>
      <c r="B115" s="7" t="s">
        <v>44</v>
      </c>
      <c r="C115" s="6" t="s">
        <v>39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58">
        <f>SUM(D115:U115)</f>
        <v>0</v>
      </c>
    </row>
    <row r="116" spans="1:22" ht="15.75" x14ac:dyDescent="0.25">
      <c r="A116" s="40">
        <v>41</v>
      </c>
      <c r="B116" s="7" t="s">
        <v>45</v>
      </c>
      <c r="C116" s="6" t="s">
        <v>39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58">
        <f t="shared" ref="V116:V121" si="34">SUM(D116:U116)</f>
        <v>0</v>
      </c>
    </row>
    <row r="117" spans="1:22" ht="15.75" x14ac:dyDescent="0.25">
      <c r="A117" s="40">
        <v>42</v>
      </c>
      <c r="B117" s="7" t="s">
        <v>46</v>
      </c>
      <c r="C117" s="6" t="s">
        <v>39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58">
        <f t="shared" si="34"/>
        <v>0</v>
      </c>
    </row>
    <row r="118" spans="1:22" ht="15.75" x14ac:dyDescent="0.25">
      <c r="A118" s="40">
        <v>43</v>
      </c>
      <c r="B118" s="7" t="s">
        <v>47</v>
      </c>
      <c r="C118" s="6" t="s">
        <v>39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58">
        <f t="shared" si="34"/>
        <v>0</v>
      </c>
    </row>
    <row r="119" spans="1:22" ht="15.75" x14ac:dyDescent="0.25">
      <c r="A119" s="40">
        <v>44</v>
      </c>
      <c r="B119" s="7" t="s">
        <v>48</v>
      </c>
      <c r="C119" s="6" t="s">
        <v>39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58">
        <f t="shared" si="34"/>
        <v>0</v>
      </c>
    </row>
    <row r="120" spans="1:22" ht="15.75" x14ac:dyDescent="0.25">
      <c r="A120" s="40">
        <v>45</v>
      </c>
      <c r="B120" s="7" t="s">
        <v>49</v>
      </c>
      <c r="C120" s="6" t="s">
        <v>39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58">
        <f t="shared" si="34"/>
        <v>0</v>
      </c>
    </row>
    <row r="121" spans="1:22" ht="15.75" x14ac:dyDescent="0.25">
      <c r="A121" s="40">
        <v>46</v>
      </c>
      <c r="B121" s="7" t="s">
        <v>50</v>
      </c>
      <c r="C121" s="6" t="s">
        <v>39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58">
        <f t="shared" si="34"/>
        <v>0</v>
      </c>
    </row>
    <row r="122" spans="1:22" ht="30" x14ac:dyDescent="0.25">
      <c r="A122" s="59" t="s">
        <v>58</v>
      </c>
      <c r="B122" s="14" t="s">
        <v>42</v>
      </c>
      <c r="C122" s="6" t="s">
        <v>4</v>
      </c>
      <c r="D122" s="60" t="s">
        <v>111</v>
      </c>
      <c r="E122" s="60" t="s">
        <v>111</v>
      </c>
      <c r="F122" s="60" t="s">
        <v>111</v>
      </c>
      <c r="G122" s="60" t="s">
        <v>111</v>
      </c>
      <c r="H122" s="60" t="s">
        <v>111</v>
      </c>
      <c r="I122" s="60" t="s">
        <v>111</v>
      </c>
      <c r="J122" s="60" t="s">
        <v>111</v>
      </c>
      <c r="K122" s="60" t="s">
        <v>111</v>
      </c>
      <c r="L122" s="60" t="s">
        <v>111</v>
      </c>
      <c r="M122" s="60" t="s">
        <v>111</v>
      </c>
      <c r="N122" s="60" t="s">
        <v>111</v>
      </c>
      <c r="O122" s="60" t="s">
        <v>111</v>
      </c>
      <c r="P122" s="60" t="s">
        <v>111</v>
      </c>
      <c r="Q122" s="60" t="s">
        <v>111</v>
      </c>
      <c r="R122" s="60" t="s">
        <v>111</v>
      </c>
      <c r="S122" s="60" t="s">
        <v>111</v>
      </c>
      <c r="T122" s="60" t="s">
        <v>111</v>
      </c>
      <c r="U122" s="60" t="s">
        <v>111</v>
      </c>
      <c r="V122" s="39"/>
    </row>
    <row r="123" spans="1:22" ht="15.75" x14ac:dyDescent="0.25">
      <c r="A123" s="59" t="s">
        <v>59</v>
      </c>
      <c r="B123" s="7" t="s">
        <v>31</v>
      </c>
      <c r="C123" s="6" t="s">
        <v>4</v>
      </c>
      <c r="D123" s="57" t="s">
        <v>57</v>
      </c>
      <c r="E123" s="57" t="s">
        <v>57</v>
      </c>
      <c r="F123" s="57" t="s">
        <v>57</v>
      </c>
      <c r="G123" s="57" t="s">
        <v>57</v>
      </c>
      <c r="H123" s="57" t="s">
        <v>57</v>
      </c>
      <c r="I123" s="57" t="s">
        <v>57</v>
      </c>
      <c r="J123" s="57" t="s">
        <v>57</v>
      </c>
      <c r="K123" s="57" t="s">
        <v>57</v>
      </c>
      <c r="L123" s="57" t="s">
        <v>57</v>
      </c>
      <c r="M123" s="57" t="s">
        <v>57</v>
      </c>
      <c r="N123" s="57" t="s">
        <v>57</v>
      </c>
      <c r="O123" s="57" t="s">
        <v>57</v>
      </c>
      <c r="P123" s="57" t="s">
        <v>57</v>
      </c>
      <c r="Q123" s="57" t="s">
        <v>57</v>
      </c>
      <c r="R123" s="57" t="s">
        <v>57</v>
      </c>
      <c r="S123" s="57" t="s">
        <v>57</v>
      </c>
      <c r="T123" s="57" t="s">
        <v>57</v>
      </c>
      <c r="U123" s="57" t="s">
        <v>57</v>
      </c>
      <c r="V123" s="39"/>
    </row>
    <row r="124" spans="1:22" ht="15.75" x14ac:dyDescent="0.25">
      <c r="A124" s="59" t="s">
        <v>60</v>
      </c>
      <c r="B124" s="7" t="s">
        <v>43</v>
      </c>
      <c r="C124" s="6" t="s">
        <v>4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39"/>
    </row>
    <row r="125" spans="1:22" ht="15.75" x14ac:dyDescent="0.25">
      <c r="A125" s="59" t="s">
        <v>61</v>
      </c>
      <c r="B125" s="7" t="s">
        <v>44</v>
      </c>
      <c r="C125" s="6" t="s">
        <v>39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58">
        <f t="shared" ref="V125:V131" si="35">SUM(D125:U125)</f>
        <v>0</v>
      </c>
    </row>
    <row r="126" spans="1:22" ht="15.75" x14ac:dyDescent="0.25">
      <c r="A126" s="59" t="s">
        <v>62</v>
      </c>
      <c r="B126" s="7" t="s">
        <v>45</v>
      </c>
      <c r="C126" s="6" t="s">
        <v>39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58">
        <f t="shared" si="35"/>
        <v>0</v>
      </c>
    </row>
    <row r="127" spans="1:22" ht="15.75" x14ac:dyDescent="0.25">
      <c r="A127" s="59" t="s">
        <v>63</v>
      </c>
      <c r="B127" s="7" t="s">
        <v>46</v>
      </c>
      <c r="C127" s="6" t="s">
        <v>39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58">
        <f t="shared" si="35"/>
        <v>0</v>
      </c>
    </row>
    <row r="128" spans="1:22" ht="15.75" x14ac:dyDescent="0.25">
      <c r="A128" s="59" t="s">
        <v>64</v>
      </c>
      <c r="B128" s="7" t="s">
        <v>47</v>
      </c>
      <c r="C128" s="6" t="s">
        <v>39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58">
        <f t="shared" si="35"/>
        <v>0</v>
      </c>
    </row>
    <row r="129" spans="1:22" ht="15.75" x14ac:dyDescent="0.25">
      <c r="A129" s="59" t="s">
        <v>65</v>
      </c>
      <c r="B129" s="7" t="s">
        <v>48</v>
      </c>
      <c r="C129" s="6" t="s">
        <v>39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58">
        <f t="shared" si="35"/>
        <v>0</v>
      </c>
    </row>
    <row r="130" spans="1:22" ht="15.75" x14ac:dyDescent="0.25">
      <c r="A130" s="59" t="s">
        <v>66</v>
      </c>
      <c r="B130" s="7" t="s">
        <v>49</v>
      </c>
      <c r="C130" s="6" t="s">
        <v>39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58">
        <f t="shared" si="35"/>
        <v>0</v>
      </c>
    </row>
    <row r="131" spans="1:22" ht="15.75" x14ac:dyDescent="0.25">
      <c r="A131" s="59" t="s">
        <v>67</v>
      </c>
      <c r="B131" s="7" t="s">
        <v>50</v>
      </c>
      <c r="C131" s="6" t="s">
        <v>39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58">
        <f t="shared" si="35"/>
        <v>0</v>
      </c>
    </row>
    <row r="132" spans="1:22" ht="15.75" x14ac:dyDescent="0.25">
      <c r="A132" s="59" t="s">
        <v>68</v>
      </c>
      <c r="B132" s="14" t="s">
        <v>42</v>
      </c>
      <c r="C132" s="6" t="s">
        <v>4</v>
      </c>
      <c r="D132" s="60" t="s">
        <v>78</v>
      </c>
      <c r="E132" s="60" t="s">
        <v>78</v>
      </c>
      <c r="F132" s="60" t="s">
        <v>78</v>
      </c>
      <c r="G132" s="60" t="s">
        <v>78</v>
      </c>
      <c r="H132" s="60" t="s">
        <v>78</v>
      </c>
      <c r="I132" s="60" t="s">
        <v>78</v>
      </c>
      <c r="J132" s="60" t="s">
        <v>78</v>
      </c>
      <c r="K132" s="60" t="s">
        <v>78</v>
      </c>
      <c r="L132" s="60" t="s">
        <v>78</v>
      </c>
      <c r="M132" s="60" t="s">
        <v>78</v>
      </c>
      <c r="N132" s="60" t="s">
        <v>78</v>
      </c>
      <c r="O132" s="60" t="s">
        <v>78</v>
      </c>
      <c r="P132" s="60" t="s">
        <v>78</v>
      </c>
      <c r="Q132" s="60" t="s">
        <v>78</v>
      </c>
      <c r="R132" s="60" t="s">
        <v>78</v>
      </c>
      <c r="S132" s="60" t="s">
        <v>78</v>
      </c>
      <c r="T132" s="60" t="s">
        <v>78</v>
      </c>
      <c r="U132" s="60" t="s">
        <v>78</v>
      </c>
      <c r="V132" s="39"/>
    </row>
    <row r="133" spans="1:22" ht="15.75" x14ac:dyDescent="0.25">
      <c r="A133" s="59" t="s">
        <v>69</v>
      </c>
      <c r="B133" s="7" t="s">
        <v>31</v>
      </c>
      <c r="C133" s="6" t="s">
        <v>4</v>
      </c>
      <c r="D133" s="57" t="s">
        <v>79</v>
      </c>
      <c r="E133" s="57" t="s">
        <v>79</v>
      </c>
      <c r="F133" s="57" t="s">
        <v>79</v>
      </c>
      <c r="G133" s="57" t="s">
        <v>79</v>
      </c>
      <c r="H133" s="57" t="s">
        <v>79</v>
      </c>
      <c r="I133" s="57" t="s">
        <v>79</v>
      </c>
      <c r="J133" s="57" t="s">
        <v>79</v>
      </c>
      <c r="K133" s="57" t="s">
        <v>79</v>
      </c>
      <c r="L133" s="57" t="s">
        <v>79</v>
      </c>
      <c r="M133" s="57" t="s">
        <v>79</v>
      </c>
      <c r="N133" s="57" t="s">
        <v>79</v>
      </c>
      <c r="O133" s="57" t="s">
        <v>79</v>
      </c>
      <c r="P133" s="57" t="s">
        <v>79</v>
      </c>
      <c r="Q133" s="57" t="s">
        <v>79</v>
      </c>
      <c r="R133" s="57" t="s">
        <v>79</v>
      </c>
      <c r="S133" s="57" t="s">
        <v>79</v>
      </c>
      <c r="T133" s="57" t="s">
        <v>79</v>
      </c>
      <c r="U133" s="57" t="s">
        <v>79</v>
      </c>
      <c r="V133" s="39"/>
    </row>
    <row r="134" spans="1:22" ht="15.75" x14ac:dyDescent="0.25">
      <c r="A134" s="59" t="s">
        <v>70</v>
      </c>
      <c r="B134" s="7" t="s">
        <v>43</v>
      </c>
      <c r="C134" s="6" t="s">
        <v>4</v>
      </c>
      <c r="D134" s="61">
        <v>1160.8599999999999</v>
      </c>
      <c r="E134" s="61">
        <v>1358.29</v>
      </c>
      <c r="F134" s="61">
        <v>831.31</v>
      </c>
      <c r="G134" s="61">
        <v>1300.54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198.36199999999999</v>
      </c>
      <c r="V134" s="39"/>
    </row>
    <row r="135" spans="1:22" ht="15.75" x14ac:dyDescent="0.25">
      <c r="A135" s="59" t="s">
        <v>71</v>
      </c>
      <c r="B135" s="7" t="s">
        <v>44</v>
      </c>
      <c r="C135" s="6" t="s">
        <v>39</v>
      </c>
      <c r="D135" s="9">
        <v>29143.87</v>
      </c>
      <c r="E135" s="9">
        <v>25741.32</v>
      </c>
      <c r="F135" s="9">
        <v>31119.07</v>
      </c>
      <c r="G135" s="9">
        <v>26581.919999999998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f>5321+5321.69</f>
        <v>10642.689999999999</v>
      </c>
      <c r="V135" s="58">
        <f t="shared" ref="V135:V141" si="36">SUM(D135:U135)</f>
        <v>123228.87000000001</v>
      </c>
    </row>
    <row r="136" spans="1:22" ht="15.75" x14ac:dyDescent="0.25">
      <c r="A136" s="59" t="s">
        <v>72</v>
      </c>
      <c r="B136" s="7" t="s">
        <v>45</v>
      </c>
      <c r="C136" s="6" t="s">
        <v>39</v>
      </c>
      <c r="D136" s="9">
        <v>27143.93</v>
      </c>
      <c r="E136" s="9">
        <v>23885.200000000001</v>
      </c>
      <c r="F136" s="9">
        <v>30375.99</v>
      </c>
      <c r="G136" s="9">
        <v>18979.88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176.49</v>
      </c>
      <c r="V136" s="58">
        <f t="shared" si="36"/>
        <v>100561.49000000002</v>
      </c>
    </row>
    <row r="137" spans="1:22" ht="15.75" x14ac:dyDescent="0.25">
      <c r="A137" s="59" t="s">
        <v>73</v>
      </c>
      <c r="B137" s="7" t="s">
        <v>46</v>
      </c>
      <c r="C137" s="6" t="s">
        <v>39</v>
      </c>
      <c r="D137" s="9">
        <v>1999.94</v>
      </c>
      <c r="E137" s="9">
        <v>1856.12</v>
      </c>
      <c r="F137" s="9">
        <v>743.08</v>
      </c>
      <c r="G137" s="9">
        <v>7602.04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f>+U135-U136</f>
        <v>10466.199999999999</v>
      </c>
      <c r="V137" s="58">
        <f t="shared" si="36"/>
        <v>22667.379999999997</v>
      </c>
    </row>
    <row r="138" spans="1:22" ht="15.75" x14ac:dyDescent="0.25">
      <c r="A138" s="59" t="s">
        <v>74</v>
      </c>
      <c r="B138" s="7" t="s">
        <v>47</v>
      </c>
      <c r="C138" s="6" t="s">
        <v>39</v>
      </c>
      <c r="D138" s="9">
        <f>+D134*49.45+10000</f>
        <v>67404.527000000002</v>
      </c>
      <c r="E138" s="9">
        <f>+E134*49.45+10000</f>
        <v>77167.440499999997</v>
      </c>
      <c r="F138" s="9">
        <f>+F134*49.45+10000</f>
        <v>51108.279499999997</v>
      </c>
      <c r="G138" s="9">
        <f>+G134*49.45+10000</f>
        <v>74311.703000000009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6569.77</v>
      </c>
      <c r="V138" s="58">
        <f t="shared" si="36"/>
        <v>276561.72000000003</v>
      </c>
    </row>
    <row r="139" spans="1:22" ht="15.75" x14ac:dyDescent="0.25">
      <c r="A139" s="59" t="s">
        <v>75</v>
      </c>
      <c r="B139" s="7" t="s">
        <v>48</v>
      </c>
      <c r="C139" s="6" t="s">
        <v>39</v>
      </c>
      <c r="D139" s="9">
        <v>32830</v>
      </c>
      <c r="E139" s="9">
        <v>32830</v>
      </c>
      <c r="F139" s="9">
        <v>32830</v>
      </c>
      <c r="G139" s="9">
        <v>32830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4927.3500000000004</v>
      </c>
      <c r="V139" s="58">
        <f t="shared" si="36"/>
        <v>136247.35</v>
      </c>
    </row>
    <row r="140" spans="1:22" ht="15.75" x14ac:dyDescent="0.25">
      <c r="A140" s="59" t="s">
        <v>76</v>
      </c>
      <c r="B140" s="7" t="s">
        <v>49</v>
      </c>
      <c r="C140" s="6" t="s">
        <v>39</v>
      </c>
      <c r="D140" s="9">
        <f>+D138-D139</f>
        <v>34574.527000000002</v>
      </c>
      <c r="E140" s="9">
        <f t="shared" ref="E140:G140" si="37">+E138-E139</f>
        <v>44337.440499999997</v>
      </c>
      <c r="F140" s="9">
        <f t="shared" si="37"/>
        <v>18278.279499999997</v>
      </c>
      <c r="G140" s="9">
        <f t="shared" si="37"/>
        <v>41481.703000000009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f>+U138-U139</f>
        <v>1642.42</v>
      </c>
      <c r="V140" s="58">
        <f t="shared" si="36"/>
        <v>140314.37000000002</v>
      </c>
    </row>
    <row r="141" spans="1:22" ht="15.75" x14ac:dyDescent="0.25">
      <c r="A141" s="59" t="s">
        <v>77</v>
      </c>
      <c r="B141" s="7" t="s">
        <v>50</v>
      </c>
      <c r="C141" s="6" t="s">
        <v>39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58">
        <f t="shared" si="36"/>
        <v>0</v>
      </c>
    </row>
    <row r="142" spans="1:22" ht="15.75" x14ac:dyDescent="0.25">
      <c r="A142" s="59" t="s">
        <v>80</v>
      </c>
      <c r="B142" s="14" t="s">
        <v>42</v>
      </c>
      <c r="C142" s="6" t="s">
        <v>4</v>
      </c>
      <c r="D142" s="56" t="s">
        <v>90</v>
      </c>
      <c r="E142" s="56" t="s">
        <v>90</v>
      </c>
      <c r="F142" s="56" t="s">
        <v>90</v>
      </c>
      <c r="G142" s="56" t="s">
        <v>90</v>
      </c>
      <c r="H142" s="56" t="s">
        <v>90</v>
      </c>
      <c r="I142" s="56" t="s">
        <v>90</v>
      </c>
      <c r="J142" s="56" t="s">
        <v>90</v>
      </c>
      <c r="K142" s="56" t="s">
        <v>90</v>
      </c>
      <c r="L142" s="56" t="s">
        <v>90</v>
      </c>
      <c r="M142" s="56" t="s">
        <v>90</v>
      </c>
      <c r="N142" s="56" t="s">
        <v>90</v>
      </c>
      <c r="O142" s="56" t="s">
        <v>90</v>
      </c>
      <c r="P142" s="56" t="s">
        <v>90</v>
      </c>
      <c r="Q142" s="56" t="s">
        <v>90</v>
      </c>
      <c r="R142" s="56" t="s">
        <v>90</v>
      </c>
      <c r="S142" s="56" t="s">
        <v>90</v>
      </c>
      <c r="T142" s="56" t="s">
        <v>90</v>
      </c>
      <c r="U142" s="56" t="s">
        <v>90</v>
      </c>
      <c r="V142" s="39"/>
    </row>
    <row r="143" spans="1:22" ht="15.75" x14ac:dyDescent="0.25">
      <c r="A143" s="59" t="s">
        <v>81</v>
      </c>
      <c r="B143" s="7" t="s">
        <v>31</v>
      </c>
      <c r="C143" s="6" t="s">
        <v>4</v>
      </c>
      <c r="D143" s="57" t="s">
        <v>79</v>
      </c>
      <c r="E143" s="57" t="s">
        <v>79</v>
      </c>
      <c r="F143" s="57" t="s">
        <v>79</v>
      </c>
      <c r="G143" s="57" t="s">
        <v>79</v>
      </c>
      <c r="H143" s="57" t="s">
        <v>79</v>
      </c>
      <c r="I143" s="57" t="s">
        <v>79</v>
      </c>
      <c r="J143" s="57" t="s">
        <v>79</v>
      </c>
      <c r="K143" s="57" t="s">
        <v>79</v>
      </c>
      <c r="L143" s="57" t="s">
        <v>79</v>
      </c>
      <c r="M143" s="57" t="s">
        <v>79</v>
      </c>
      <c r="N143" s="57" t="s">
        <v>79</v>
      </c>
      <c r="O143" s="57" t="s">
        <v>79</v>
      </c>
      <c r="P143" s="57" t="s">
        <v>79</v>
      </c>
      <c r="Q143" s="57" t="s">
        <v>79</v>
      </c>
      <c r="R143" s="57" t="s">
        <v>79</v>
      </c>
      <c r="S143" s="57" t="s">
        <v>79</v>
      </c>
      <c r="T143" s="57" t="s">
        <v>79</v>
      </c>
      <c r="U143" s="57" t="s">
        <v>79</v>
      </c>
      <c r="V143" s="39"/>
    </row>
    <row r="144" spans="1:22" ht="15.75" x14ac:dyDescent="0.25">
      <c r="A144" s="59" t="s">
        <v>82</v>
      </c>
      <c r="B144" s="7" t="s">
        <v>43</v>
      </c>
      <c r="C144" s="6" t="s">
        <v>4</v>
      </c>
      <c r="D144" s="62">
        <f>+D3*0.72</f>
        <v>887.61599999999999</v>
      </c>
      <c r="E144" s="62">
        <f t="shared" ref="E144:G144" si="38">+E3*0.72</f>
        <v>1007.568</v>
      </c>
      <c r="F144" s="62">
        <f t="shared" si="38"/>
        <v>815.4</v>
      </c>
      <c r="G144" s="62">
        <f t="shared" si="38"/>
        <v>1008.9359999999999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39"/>
    </row>
    <row r="145" spans="1:22" ht="15.75" x14ac:dyDescent="0.25">
      <c r="A145" s="59" t="s">
        <v>83</v>
      </c>
      <c r="B145" s="7" t="s">
        <v>44</v>
      </c>
      <c r="C145" s="6" t="s">
        <v>39</v>
      </c>
      <c r="D145" s="9">
        <v>32949.71</v>
      </c>
      <c r="E145" s="9">
        <v>29046.79</v>
      </c>
      <c r="F145" s="9">
        <v>36306.53</v>
      </c>
      <c r="G145" s="9">
        <v>30037.599999999999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58">
        <f t="shared" ref="V145:V151" si="39">SUM(D145:U145)</f>
        <v>128340.63</v>
      </c>
    </row>
    <row r="146" spans="1:22" ht="15.75" x14ac:dyDescent="0.25">
      <c r="A146" s="59" t="s">
        <v>84</v>
      </c>
      <c r="B146" s="7" t="s">
        <v>45</v>
      </c>
      <c r="C146" s="6" t="s">
        <v>39</v>
      </c>
      <c r="D146" s="9">
        <v>30985.91</v>
      </c>
      <c r="E146" s="9">
        <v>27249.31</v>
      </c>
      <c r="F146" s="9">
        <v>34977.57</v>
      </c>
      <c r="G146" s="9">
        <v>21727.63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58">
        <f t="shared" si="39"/>
        <v>114940.42000000001</v>
      </c>
    </row>
    <row r="147" spans="1:22" ht="15.75" x14ac:dyDescent="0.25">
      <c r="A147" s="59" t="s">
        <v>85</v>
      </c>
      <c r="B147" s="7" t="s">
        <v>46</v>
      </c>
      <c r="C147" s="6" t="s">
        <v>39</v>
      </c>
      <c r="D147" s="9">
        <v>1963.8</v>
      </c>
      <c r="E147" s="9">
        <v>1797.48</v>
      </c>
      <c r="F147" s="9">
        <v>1328.96</v>
      </c>
      <c r="G147" s="9">
        <v>8309.9699999999993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58">
        <f t="shared" si="39"/>
        <v>13400.21</v>
      </c>
    </row>
    <row r="148" spans="1:22" ht="15.75" x14ac:dyDescent="0.25">
      <c r="A148" s="59" t="s">
        <v>86</v>
      </c>
      <c r="B148" s="7" t="s">
        <v>47</v>
      </c>
      <c r="C148" s="6" t="s">
        <v>39</v>
      </c>
      <c r="D148" s="9">
        <f>+D144*58.01</f>
        <v>51490.604159999995</v>
      </c>
      <c r="E148" s="9">
        <f t="shared" ref="E148:G148" si="40">+E144*58.01</f>
        <v>58449.019679999998</v>
      </c>
      <c r="F148" s="9">
        <f t="shared" si="40"/>
        <v>47301.353999999999</v>
      </c>
      <c r="G148" s="9">
        <f t="shared" si="40"/>
        <v>58528.377359999991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58">
        <f t="shared" si="39"/>
        <v>215769.35519999996</v>
      </c>
    </row>
    <row r="149" spans="1:22" ht="15.75" x14ac:dyDescent="0.25">
      <c r="A149" s="59" t="s">
        <v>87</v>
      </c>
      <c r="B149" s="7" t="s">
        <v>48</v>
      </c>
      <c r="C149" s="6" t="s">
        <v>39</v>
      </c>
      <c r="D149" s="9">
        <v>32830</v>
      </c>
      <c r="E149" s="9">
        <v>32830</v>
      </c>
      <c r="F149" s="9">
        <v>32830</v>
      </c>
      <c r="G149" s="9">
        <v>32830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58">
        <f t="shared" si="39"/>
        <v>131320</v>
      </c>
    </row>
    <row r="150" spans="1:22" ht="15.75" x14ac:dyDescent="0.25">
      <c r="A150" s="59" t="s">
        <v>88</v>
      </c>
      <c r="B150" s="7" t="s">
        <v>49</v>
      </c>
      <c r="C150" s="6" t="s">
        <v>39</v>
      </c>
      <c r="D150" s="9">
        <f>+D148-D149</f>
        <v>18660.604159999995</v>
      </c>
      <c r="E150" s="9">
        <f t="shared" ref="E150:G150" si="41">+E148-E149</f>
        <v>25619.019679999998</v>
      </c>
      <c r="F150" s="9">
        <f t="shared" si="41"/>
        <v>14471.353999999999</v>
      </c>
      <c r="G150" s="9">
        <f t="shared" si="41"/>
        <v>25698.377359999991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58">
        <f t="shared" si="39"/>
        <v>84449.355199999991</v>
      </c>
    </row>
    <row r="151" spans="1:22" ht="15.75" x14ac:dyDescent="0.25">
      <c r="A151" s="59" t="s">
        <v>89</v>
      </c>
      <c r="B151" s="7" t="s">
        <v>50</v>
      </c>
      <c r="C151" s="6" t="s">
        <v>39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58">
        <f t="shared" si="39"/>
        <v>0</v>
      </c>
    </row>
    <row r="152" spans="1:22" ht="15.75" x14ac:dyDescent="0.25">
      <c r="A152" s="59" t="s">
        <v>91</v>
      </c>
      <c r="B152" s="14" t="s">
        <v>42</v>
      </c>
      <c r="C152" s="6" t="s">
        <v>4</v>
      </c>
      <c r="D152" s="56" t="s">
        <v>101</v>
      </c>
      <c r="E152" s="56" t="s">
        <v>101</v>
      </c>
      <c r="F152" s="56" t="s">
        <v>101</v>
      </c>
      <c r="G152" s="56" t="s">
        <v>101</v>
      </c>
      <c r="H152" s="56" t="s">
        <v>101</v>
      </c>
      <c r="I152" s="56" t="s">
        <v>101</v>
      </c>
      <c r="J152" s="56" t="s">
        <v>101</v>
      </c>
      <c r="K152" s="56" t="s">
        <v>101</v>
      </c>
      <c r="L152" s="56" t="s">
        <v>101</v>
      </c>
      <c r="M152" s="56" t="s">
        <v>101</v>
      </c>
      <c r="N152" s="56" t="s">
        <v>101</v>
      </c>
      <c r="O152" s="56" t="s">
        <v>101</v>
      </c>
      <c r="P152" s="56" t="s">
        <v>101</v>
      </c>
      <c r="Q152" s="56" t="s">
        <v>101</v>
      </c>
      <c r="R152" s="56" t="s">
        <v>101</v>
      </c>
      <c r="S152" s="56" t="s">
        <v>101</v>
      </c>
      <c r="T152" s="56" t="s">
        <v>101</v>
      </c>
      <c r="U152" s="56" t="s">
        <v>101</v>
      </c>
      <c r="V152" s="39"/>
    </row>
    <row r="153" spans="1:22" ht="15.75" x14ac:dyDescent="0.25">
      <c r="A153" s="59" t="s">
        <v>92</v>
      </c>
      <c r="B153" s="7" t="s">
        <v>31</v>
      </c>
      <c r="C153" s="6" t="s">
        <v>4</v>
      </c>
      <c r="D153" s="57" t="s">
        <v>102</v>
      </c>
      <c r="E153" s="57" t="s">
        <v>102</v>
      </c>
      <c r="F153" s="57" t="s">
        <v>102</v>
      </c>
      <c r="G153" s="57" t="s">
        <v>102</v>
      </c>
      <c r="H153" s="57" t="s">
        <v>102</v>
      </c>
      <c r="I153" s="57" t="s">
        <v>102</v>
      </c>
      <c r="J153" s="57" t="s">
        <v>102</v>
      </c>
      <c r="K153" s="57" t="s">
        <v>102</v>
      </c>
      <c r="L153" s="57" t="s">
        <v>102</v>
      </c>
      <c r="M153" s="57" t="s">
        <v>102</v>
      </c>
      <c r="N153" s="57" t="s">
        <v>102</v>
      </c>
      <c r="O153" s="57" t="s">
        <v>102</v>
      </c>
      <c r="P153" s="57" t="s">
        <v>102</v>
      </c>
      <c r="Q153" s="57" t="s">
        <v>102</v>
      </c>
      <c r="R153" s="57" t="s">
        <v>102</v>
      </c>
      <c r="S153" s="57" t="s">
        <v>102</v>
      </c>
      <c r="T153" s="57" t="s">
        <v>102</v>
      </c>
      <c r="U153" s="57" t="s">
        <v>102</v>
      </c>
      <c r="V153" s="39"/>
    </row>
    <row r="154" spans="1:22" ht="15.75" x14ac:dyDescent="0.25">
      <c r="A154" s="59" t="s">
        <v>93</v>
      </c>
      <c r="B154" s="7" t="s">
        <v>43</v>
      </c>
      <c r="C154" s="6" t="s">
        <v>4</v>
      </c>
      <c r="D154" s="61">
        <v>10442</v>
      </c>
      <c r="E154" s="61">
        <v>9663</v>
      </c>
      <c r="F154" s="61">
        <v>5956</v>
      </c>
      <c r="G154" s="61">
        <v>5163</v>
      </c>
      <c r="H154" s="63">
        <f>+H3*0.707</f>
        <v>990.71909999999991</v>
      </c>
      <c r="I154" s="63">
        <f t="shared" ref="I154:U154" si="42">+I3*0.707</f>
        <v>1116.3529999999998</v>
      </c>
      <c r="J154" s="63">
        <f t="shared" si="42"/>
        <v>1112.3938000000001</v>
      </c>
      <c r="K154" s="63">
        <f t="shared" si="42"/>
        <v>990.71909999999991</v>
      </c>
      <c r="L154" s="63">
        <f t="shared" si="42"/>
        <v>1111.6161</v>
      </c>
      <c r="M154" s="63">
        <f t="shared" si="42"/>
        <v>990.71909999999991</v>
      </c>
      <c r="N154" s="63">
        <f t="shared" si="42"/>
        <v>990.71909999999991</v>
      </c>
      <c r="O154" s="63">
        <f t="shared" si="42"/>
        <v>456.86340000000001</v>
      </c>
      <c r="P154" s="63">
        <f t="shared" si="42"/>
        <v>441.875</v>
      </c>
      <c r="Q154" s="63">
        <f t="shared" si="42"/>
        <v>990.71909999999991</v>
      </c>
      <c r="R154" s="63">
        <f t="shared" si="42"/>
        <v>990.71909999999991</v>
      </c>
      <c r="S154" s="63">
        <f t="shared" si="42"/>
        <v>990.71909999999991</v>
      </c>
      <c r="T154" s="63">
        <f t="shared" si="42"/>
        <v>990.71909999999991</v>
      </c>
      <c r="U154" s="63">
        <f t="shared" si="42"/>
        <v>990.71909999999991</v>
      </c>
      <c r="V154" s="39"/>
    </row>
    <row r="155" spans="1:22" ht="15.75" x14ac:dyDescent="0.25">
      <c r="A155" s="59" t="s">
        <v>94</v>
      </c>
      <c r="B155" s="7" t="s">
        <v>44</v>
      </c>
      <c r="C155" s="6" t="s">
        <v>39</v>
      </c>
      <c r="D155" s="9">
        <v>24775.47</v>
      </c>
      <c r="E155" s="9">
        <v>20101.93</v>
      </c>
      <c r="F155" s="9">
        <v>20925.3</v>
      </c>
      <c r="G155" s="9">
        <v>15693.89</v>
      </c>
      <c r="H155" s="9">
        <v>67068.28</v>
      </c>
      <c r="I155" s="9">
        <v>53998.75</v>
      </c>
      <c r="J155" s="9">
        <v>63090.59</v>
      </c>
      <c r="K155" s="9">
        <v>49958.400000000001</v>
      </c>
      <c r="L155" s="9">
        <v>56962.5</v>
      </c>
      <c r="M155" s="9">
        <v>59352.51</v>
      </c>
      <c r="N155" s="9">
        <v>63547.38</v>
      </c>
      <c r="O155" s="9">
        <v>27336.9</v>
      </c>
      <c r="P155" s="9">
        <v>28945.46</v>
      </c>
      <c r="Q155" s="9">
        <v>22134.51</v>
      </c>
      <c r="R155" s="9">
        <v>24042.68</v>
      </c>
      <c r="S155" s="9">
        <v>63409.79</v>
      </c>
      <c r="T155" s="9">
        <v>57547.81</v>
      </c>
      <c r="U155" s="9">
        <v>25112.31</v>
      </c>
      <c r="V155" s="58">
        <f t="shared" ref="V155:V161" si="43">SUM(D155:U155)</f>
        <v>744004.4600000002</v>
      </c>
    </row>
    <row r="156" spans="1:22" ht="15.75" x14ac:dyDescent="0.25">
      <c r="A156" s="59" t="s">
        <v>95</v>
      </c>
      <c r="B156" s="7" t="s">
        <v>45</v>
      </c>
      <c r="C156" s="6" t="s">
        <v>39</v>
      </c>
      <c r="D156" s="9">
        <v>24775.47</v>
      </c>
      <c r="E156" s="9">
        <v>20101.93</v>
      </c>
      <c r="F156" s="9">
        <v>20925.3</v>
      </c>
      <c r="G156" s="9">
        <v>14821.7</v>
      </c>
      <c r="H156" s="9">
        <v>47950</v>
      </c>
      <c r="I156" s="9">
        <v>39830</v>
      </c>
      <c r="J156" s="9">
        <v>51270</v>
      </c>
      <c r="K156" s="9">
        <v>36311</v>
      </c>
      <c r="L156" s="9">
        <v>42970</v>
      </c>
      <c r="M156" s="9">
        <v>44641</v>
      </c>
      <c r="N156" s="9">
        <v>49947</v>
      </c>
      <c r="O156" s="9">
        <v>12212</v>
      </c>
      <c r="P156" s="9">
        <v>13541</v>
      </c>
      <c r="Q156" s="9">
        <v>8623</v>
      </c>
      <c r="R156" s="9">
        <v>11021</v>
      </c>
      <c r="S156" s="9">
        <v>49942</v>
      </c>
      <c r="T156" s="9">
        <v>45214</v>
      </c>
      <c r="U156" s="9">
        <v>11314</v>
      </c>
      <c r="V156" s="58">
        <f t="shared" si="43"/>
        <v>545410.4</v>
      </c>
    </row>
    <row r="157" spans="1:22" ht="15.75" x14ac:dyDescent="0.25">
      <c r="A157" s="59" t="s">
        <v>96</v>
      </c>
      <c r="B157" s="7" t="s">
        <v>46</v>
      </c>
      <c r="C157" s="6" t="s">
        <v>39</v>
      </c>
      <c r="D157" s="9">
        <f>+D155-D156</f>
        <v>0</v>
      </c>
      <c r="E157" s="9">
        <f t="shared" ref="E157:U157" si="44">+E155-E156</f>
        <v>0</v>
      </c>
      <c r="F157" s="9">
        <f t="shared" si="44"/>
        <v>0</v>
      </c>
      <c r="G157" s="9">
        <f t="shared" si="44"/>
        <v>872.18999999999869</v>
      </c>
      <c r="H157" s="9">
        <f t="shared" si="44"/>
        <v>19118.28</v>
      </c>
      <c r="I157" s="9">
        <f t="shared" si="44"/>
        <v>14168.75</v>
      </c>
      <c r="J157" s="9">
        <f t="shared" si="44"/>
        <v>11820.589999999997</v>
      </c>
      <c r="K157" s="9">
        <f t="shared" si="44"/>
        <v>13647.400000000001</v>
      </c>
      <c r="L157" s="9">
        <f t="shared" si="44"/>
        <v>13992.5</v>
      </c>
      <c r="M157" s="9">
        <f t="shared" si="44"/>
        <v>14711.510000000002</v>
      </c>
      <c r="N157" s="9">
        <f t="shared" si="44"/>
        <v>13600.379999999997</v>
      </c>
      <c r="O157" s="9">
        <f t="shared" si="44"/>
        <v>15124.900000000001</v>
      </c>
      <c r="P157" s="9">
        <f t="shared" si="44"/>
        <v>15404.46</v>
      </c>
      <c r="Q157" s="9">
        <f t="shared" si="44"/>
        <v>13511.509999999998</v>
      </c>
      <c r="R157" s="9">
        <f t="shared" si="44"/>
        <v>13021.68</v>
      </c>
      <c r="S157" s="9">
        <f t="shared" si="44"/>
        <v>13467.79</v>
      </c>
      <c r="T157" s="9">
        <f t="shared" si="44"/>
        <v>12333.809999999998</v>
      </c>
      <c r="U157" s="9">
        <f t="shared" si="44"/>
        <v>13798.310000000001</v>
      </c>
      <c r="V157" s="58">
        <f t="shared" si="43"/>
        <v>198594.06</v>
      </c>
    </row>
    <row r="158" spans="1:22" ht="15.75" x14ac:dyDescent="0.25">
      <c r="A158" s="59" t="s">
        <v>97</v>
      </c>
      <c r="B158" s="7" t="s">
        <v>47</v>
      </c>
      <c r="C158" s="6" t="s">
        <v>39</v>
      </c>
      <c r="D158" s="9">
        <f>+D154*2.68</f>
        <v>27984.560000000001</v>
      </c>
      <c r="E158" s="9">
        <f t="shared" ref="E158:G158" si="45">+E154*2.68</f>
        <v>25896.84</v>
      </c>
      <c r="F158" s="9">
        <f t="shared" si="45"/>
        <v>15962.080000000002</v>
      </c>
      <c r="G158" s="9">
        <f t="shared" si="45"/>
        <v>13836.84</v>
      </c>
      <c r="H158" s="9">
        <f>+H154*3.89</f>
        <v>3853.8972989999997</v>
      </c>
      <c r="I158" s="9">
        <f t="shared" ref="I158:U158" si="46">+I154*3.89</f>
        <v>4342.6131699999996</v>
      </c>
      <c r="J158" s="9">
        <f t="shared" si="46"/>
        <v>4327.2118820000005</v>
      </c>
      <c r="K158" s="9">
        <f t="shared" si="46"/>
        <v>3853.8972989999997</v>
      </c>
      <c r="L158" s="9">
        <f t="shared" si="46"/>
        <v>4324.1866289999998</v>
      </c>
      <c r="M158" s="9">
        <f t="shared" si="46"/>
        <v>3853.8972989999997</v>
      </c>
      <c r="N158" s="9">
        <f t="shared" si="46"/>
        <v>3853.8972989999997</v>
      </c>
      <c r="O158" s="9">
        <f t="shared" si="46"/>
        <v>1777.1986260000001</v>
      </c>
      <c r="P158" s="9">
        <f t="shared" si="46"/>
        <v>1718.89375</v>
      </c>
      <c r="Q158" s="9">
        <f t="shared" si="46"/>
        <v>3853.8972989999997</v>
      </c>
      <c r="R158" s="9">
        <f t="shared" si="46"/>
        <v>3853.8972989999997</v>
      </c>
      <c r="S158" s="9">
        <f t="shared" si="46"/>
        <v>3853.8972989999997</v>
      </c>
      <c r="T158" s="9">
        <f t="shared" si="46"/>
        <v>3853.8972989999997</v>
      </c>
      <c r="U158" s="9">
        <f t="shared" si="46"/>
        <v>3853.8972989999997</v>
      </c>
      <c r="V158" s="58">
        <f t="shared" si="43"/>
        <v>134855.49974800003</v>
      </c>
    </row>
    <row r="159" spans="1:22" ht="15.75" x14ac:dyDescent="0.25">
      <c r="A159" s="59" t="s">
        <v>98</v>
      </c>
      <c r="B159" s="7" t="s">
        <v>48</v>
      </c>
      <c r="C159" s="6" t="s">
        <v>39</v>
      </c>
      <c r="D159" s="9">
        <v>19084</v>
      </c>
      <c r="E159" s="9">
        <v>18890</v>
      </c>
      <c r="F159" s="9">
        <v>9062</v>
      </c>
      <c r="G159" s="9">
        <v>6300</v>
      </c>
      <c r="H159" s="9">
        <v>2003</v>
      </c>
      <c r="I159" s="9">
        <v>2450</v>
      </c>
      <c r="J159" s="9">
        <v>4300</v>
      </c>
      <c r="K159" s="9">
        <v>1953</v>
      </c>
      <c r="L159" s="9">
        <v>2740</v>
      </c>
      <c r="M159" s="9">
        <v>2100</v>
      </c>
      <c r="N159" s="9">
        <v>2350</v>
      </c>
      <c r="O159" s="9">
        <v>700</v>
      </c>
      <c r="P159" s="9">
        <v>718</v>
      </c>
      <c r="Q159" s="9">
        <v>2453</v>
      </c>
      <c r="R159" s="9">
        <v>2450</v>
      </c>
      <c r="S159" s="9">
        <v>2450</v>
      </c>
      <c r="T159" s="9">
        <v>2450</v>
      </c>
      <c r="U159" s="9">
        <v>2450</v>
      </c>
      <c r="V159" s="58">
        <f t="shared" si="43"/>
        <v>84903</v>
      </c>
    </row>
    <row r="160" spans="1:22" ht="15.75" x14ac:dyDescent="0.25">
      <c r="A160" s="59" t="s">
        <v>99</v>
      </c>
      <c r="B160" s="7" t="s">
        <v>49</v>
      </c>
      <c r="C160" s="6" t="s">
        <v>39</v>
      </c>
      <c r="D160" s="9">
        <f>+D158-D159</f>
        <v>8900.5600000000013</v>
      </c>
      <c r="E160" s="9">
        <f t="shared" ref="E160:U160" si="47">+E158-E159</f>
        <v>7006.84</v>
      </c>
      <c r="F160" s="9">
        <f t="shared" si="47"/>
        <v>6900.0800000000017</v>
      </c>
      <c r="G160" s="9">
        <f t="shared" si="47"/>
        <v>7536.84</v>
      </c>
      <c r="H160" s="9">
        <f t="shared" si="47"/>
        <v>1850.8972989999997</v>
      </c>
      <c r="I160" s="9">
        <f t="shared" si="47"/>
        <v>1892.6131699999996</v>
      </c>
      <c r="J160" s="9">
        <f t="shared" si="47"/>
        <v>27.211882000000514</v>
      </c>
      <c r="K160" s="9">
        <f t="shared" si="47"/>
        <v>1900.8972989999997</v>
      </c>
      <c r="L160" s="9">
        <f t="shared" si="47"/>
        <v>1584.1866289999998</v>
      </c>
      <c r="M160" s="9">
        <f t="shared" si="47"/>
        <v>1753.8972989999997</v>
      </c>
      <c r="N160" s="9">
        <f t="shared" si="47"/>
        <v>1503.8972989999997</v>
      </c>
      <c r="O160" s="9">
        <f t="shared" si="47"/>
        <v>1077.1986260000001</v>
      </c>
      <c r="P160" s="9">
        <f t="shared" si="47"/>
        <v>1000.89375</v>
      </c>
      <c r="Q160" s="9">
        <f t="shared" si="47"/>
        <v>1400.8972989999997</v>
      </c>
      <c r="R160" s="9">
        <f t="shared" si="47"/>
        <v>1403.8972989999997</v>
      </c>
      <c r="S160" s="9">
        <f t="shared" si="47"/>
        <v>1403.8972989999997</v>
      </c>
      <c r="T160" s="9">
        <f t="shared" si="47"/>
        <v>1403.8972989999997</v>
      </c>
      <c r="U160" s="9">
        <f t="shared" si="47"/>
        <v>1403.8972989999997</v>
      </c>
      <c r="V160" s="58">
        <f>SUM(D160:U160)</f>
        <v>49952.49974799998</v>
      </c>
    </row>
    <row r="161" spans="1:22" ht="15.75" x14ac:dyDescent="0.25">
      <c r="A161" s="59" t="s">
        <v>100</v>
      </c>
      <c r="B161" s="7" t="s">
        <v>50</v>
      </c>
      <c r="C161" s="6" t="s">
        <v>39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58">
        <f t="shared" si="43"/>
        <v>0</v>
      </c>
    </row>
    <row r="162" spans="1:22" x14ac:dyDescent="0.25">
      <c r="A162" s="41" t="s">
        <v>51</v>
      </c>
      <c r="B162" s="34"/>
      <c r="C162" s="34"/>
      <c r="D162" s="34"/>
      <c r="E162" s="4">
        <v>0</v>
      </c>
      <c r="F162" s="4">
        <v>0</v>
      </c>
      <c r="G162" s="4">
        <f>E161+G161</f>
        <v>0</v>
      </c>
      <c r="H162" s="4">
        <v>0</v>
      </c>
      <c r="I162" s="4">
        <f>E161+I161</f>
        <v>0</v>
      </c>
      <c r="J162" s="4">
        <f>F161+J161</f>
        <v>0</v>
      </c>
      <c r="K162" s="4">
        <f>G161+K161</f>
        <v>0</v>
      </c>
      <c r="L162" s="4">
        <f t="shared" ref="L162:T162" si="48">J161+L161</f>
        <v>0</v>
      </c>
      <c r="M162" s="4">
        <f t="shared" si="48"/>
        <v>0</v>
      </c>
      <c r="N162" s="4">
        <f t="shared" si="48"/>
        <v>0</v>
      </c>
      <c r="O162" s="4">
        <f t="shared" si="48"/>
        <v>0</v>
      </c>
      <c r="P162" s="4">
        <f t="shared" si="48"/>
        <v>0</v>
      </c>
      <c r="Q162" s="4">
        <f t="shared" si="48"/>
        <v>0</v>
      </c>
      <c r="R162" s="4">
        <f t="shared" si="48"/>
        <v>0</v>
      </c>
      <c r="S162" s="4">
        <f t="shared" si="48"/>
        <v>0</v>
      </c>
      <c r="T162" s="4">
        <f t="shared" si="48"/>
        <v>0</v>
      </c>
      <c r="U162" s="4">
        <f>T161+U161</f>
        <v>0</v>
      </c>
      <c r="V162" s="39"/>
    </row>
    <row r="163" spans="1:22" ht="15.75" x14ac:dyDescent="0.25">
      <c r="A163" s="40">
        <v>47</v>
      </c>
      <c r="B163" s="7" t="s">
        <v>34</v>
      </c>
      <c r="C163" s="6" t="s">
        <v>35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9"/>
    </row>
    <row r="164" spans="1:22" ht="15.75" x14ac:dyDescent="0.25">
      <c r="A164" s="40">
        <v>48</v>
      </c>
      <c r="B164" s="7" t="s">
        <v>36</v>
      </c>
      <c r="C164" s="6" t="s">
        <v>35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9"/>
    </row>
    <row r="165" spans="1:22" ht="15.75" x14ac:dyDescent="0.25">
      <c r="A165" s="40">
        <v>49</v>
      </c>
      <c r="B165" s="7" t="s">
        <v>37</v>
      </c>
      <c r="C165" s="6" t="s">
        <v>35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9"/>
    </row>
    <row r="166" spans="1:22" ht="15.75" x14ac:dyDescent="0.25">
      <c r="A166" s="40">
        <v>50</v>
      </c>
      <c r="B166" s="7" t="s">
        <v>38</v>
      </c>
      <c r="C166" s="6" t="s">
        <v>39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9"/>
    </row>
    <row r="167" spans="1:22" x14ac:dyDescent="0.25">
      <c r="A167" s="41" t="s">
        <v>52</v>
      </c>
      <c r="B167" s="34"/>
      <c r="C167" s="34"/>
      <c r="D167" s="3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39"/>
    </row>
    <row r="168" spans="1:22" ht="15.75" x14ac:dyDescent="0.25">
      <c r="A168" s="40">
        <v>51</v>
      </c>
      <c r="B168" s="7" t="s">
        <v>53</v>
      </c>
      <c r="C168" s="6" t="s">
        <v>35</v>
      </c>
      <c r="D168" s="33">
        <v>5</v>
      </c>
      <c r="E168" s="33">
        <v>7</v>
      </c>
      <c r="F168" s="33">
        <v>3</v>
      </c>
      <c r="G168" s="33">
        <v>5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9"/>
    </row>
    <row r="169" spans="1:22" ht="15.75" x14ac:dyDescent="0.25">
      <c r="A169" s="40">
        <v>52</v>
      </c>
      <c r="B169" s="7" t="s">
        <v>54</v>
      </c>
      <c r="C169" s="6" t="s">
        <v>35</v>
      </c>
      <c r="D169" s="33">
        <v>1</v>
      </c>
      <c r="E169" s="33">
        <v>2</v>
      </c>
      <c r="F169" s="33">
        <v>0</v>
      </c>
      <c r="G169" s="33">
        <v>2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9"/>
    </row>
    <row r="170" spans="1:22" ht="16.5" thickBot="1" x14ac:dyDescent="0.3">
      <c r="A170" s="43">
        <v>53</v>
      </c>
      <c r="B170" s="44" t="s">
        <v>55</v>
      </c>
      <c r="C170" s="45" t="s">
        <v>39</v>
      </c>
      <c r="D170" s="64">
        <v>0</v>
      </c>
      <c r="E170" s="64">
        <v>0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5"/>
    </row>
    <row r="171" spans="1:2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2" x14ac:dyDescent="0.25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2" x14ac:dyDescent="0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2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</sheetData>
  <mergeCells count="8">
    <mergeCell ref="A1:D1"/>
    <mergeCell ref="A167:D167"/>
    <mergeCell ref="A8:D8"/>
    <mergeCell ref="A26:D26"/>
    <mergeCell ref="A99:D99"/>
    <mergeCell ref="A104:D104"/>
    <mergeCell ref="A111:D111"/>
    <mergeCell ref="A162:D162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zoomScale="110" zoomScaleNormal="110" workbookViewId="0">
      <selection activeCell="E6" sqref="E6:G11"/>
    </sheetView>
  </sheetViews>
  <sheetFormatPr defaultRowHeight="15" outlineLevelRow="2" x14ac:dyDescent="0.25"/>
  <cols>
    <col min="1" max="1" width="60.7109375" customWidth="1"/>
    <col min="2" max="7" width="10.7109375" customWidth="1"/>
    <col min="8" max="8" width="15.7109375" customWidth="1"/>
  </cols>
  <sheetData>
    <row r="1" spans="1:9" x14ac:dyDescent="0.25">
      <c r="A1" s="35" t="s">
        <v>133</v>
      </c>
      <c r="B1" s="35"/>
      <c r="C1" s="35"/>
      <c r="D1" s="35"/>
      <c r="E1" s="35"/>
      <c r="F1" s="35"/>
      <c r="G1" s="35"/>
      <c r="H1" s="35"/>
    </row>
    <row r="2" spans="1:9" x14ac:dyDescent="0.25">
      <c r="A2" s="19" t="s">
        <v>117</v>
      </c>
      <c r="B2" s="19" t="s">
        <v>118</v>
      </c>
      <c r="C2" s="19" t="s">
        <v>119</v>
      </c>
      <c r="D2" s="19" t="s">
        <v>120</v>
      </c>
      <c r="E2" s="19" t="s">
        <v>121</v>
      </c>
      <c r="F2" s="19" t="s">
        <v>122</v>
      </c>
      <c r="G2" s="19" t="s">
        <v>123</v>
      </c>
      <c r="H2" s="19" t="s">
        <v>124</v>
      </c>
    </row>
    <row r="3" spans="1:9" x14ac:dyDescent="0.25">
      <c r="A3" s="20"/>
      <c r="B3" s="21" t="s">
        <v>134</v>
      </c>
      <c r="C3" s="21" t="s">
        <v>125</v>
      </c>
      <c r="D3" s="21" t="s">
        <v>135</v>
      </c>
      <c r="E3" s="21" t="s">
        <v>136</v>
      </c>
      <c r="F3" s="21" t="s">
        <v>137</v>
      </c>
      <c r="G3" s="21" t="s">
        <v>138</v>
      </c>
      <c r="H3" s="22"/>
    </row>
    <row r="4" spans="1:9" outlineLevel="1" x14ac:dyDescent="0.25">
      <c r="A4" s="23" t="s">
        <v>126</v>
      </c>
      <c r="B4" s="24">
        <v>258546.18</v>
      </c>
      <c r="C4" s="24">
        <v>0</v>
      </c>
      <c r="D4" s="24">
        <v>18132</v>
      </c>
      <c r="E4" s="24">
        <v>276678.18</v>
      </c>
      <c r="F4" s="24">
        <v>223336.2</v>
      </c>
      <c r="G4" s="24">
        <v>53341.98</v>
      </c>
      <c r="H4" s="25"/>
    </row>
    <row r="5" spans="1:9" outlineLevel="2" x14ac:dyDescent="0.25">
      <c r="A5" s="26" t="s">
        <v>106</v>
      </c>
      <c r="B5" s="27">
        <v>50239.19</v>
      </c>
      <c r="C5" s="27">
        <v>0</v>
      </c>
      <c r="D5" s="27">
        <v>0</v>
      </c>
      <c r="E5" s="27">
        <v>50239.19</v>
      </c>
      <c r="F5" s="27">
        <v>43747.53</v>
      </c>
      <c r="G5" s="27">
        <v>6491.66</v>
      </c>
      <c r="H5" s="28" t="s">
        <v>139</v>
      </c>
    </row>
    <row r="6" spans="1:9" outlineLevel="2" x14ac:dyDescent="0.25">
      <c r="A6" s="26" t="s">
        <v>140</v>
      </c>
      <c r="B6" s="27">
        <v>28512.400000000001</v>
      </c>
      <c r="C6" s="27">
        <v>0</v>
      </c>
      <c r="D6" s="27">
        <v>0</v>
      </c>
      <c r="E6" s="32">
        <v>28512.400000000001</v>
      </c>
      <c r="F6" s="32">
        <v>22442.21</v>
      </c>
      <c r="G6" s="32">
        <v>6070.19</v>
      </c>
      <c r="H6" s="28" t="s">
        <v>141</v>
      </c>
      <c r="I6" s="30">
        <v>10</v>
      </c>
    </row>
    <row r="7" spans="1:9" outlineLevel="2" x14ac:dyDescent="0.25">
      <c r="A7" s="26" t="s">
        <v>142</v>
      </c>
      <c r="B7" s="27">
        <v>54589.77</v>
      </c>
      <c r="C7" s="27">
        <v>0</v>
      </c>
      <c r="D7" s="27">
        <v>18132</v>
      </c>
      <c r="E7" s="32">
        <v>72721.77</v>
      </c>
      <c r="F7" s="32">
        <v>58698.16</v>
      </c>
      <c r="G7" s="32">
        <v>14023.61</v>
      </c>
      <c r="H7" s="28" t="s">
        <v>143</v>
      </c>
      <c r="I7" s="30">
        <v>8</v>
      </c>
    </row>
    <row r="8" spans="1:9" outlineLevel="2" x14ac:dyDescent="0.25">
      <c r="A8" s="26" t="s">
        <v>144</v>
      </c>
      <c r="B8" s="27">
        <v>57322.26</v>
      </c>
      <c r="C8" s="27">
        <v>0</v>
      </c>
      <c r="D8" s="27">
        <v>0</v>
      </c>
      <c r="E8" s="32">
        <v>57322.26</v>
      </c>
      <c r="F8" s="32">
        <v>45118.59</v>
      </c>
      <c r="G8" s="32">
        <v>12203.67</v>
      </c>
      <c r="H8" s="28" t="s">
        <v>141</v>
      </c>
      <c r="I8" s="30">
        <v>10</v>
      </c>
    </row>
    <row r="9" spans="1:9" outlineLevel="2" x14ac:dyDescent="0.25">
      <c r="A9" s="26" t="s">
        <v>145</v>
      </c>
      <c r="B9" s="27">
        <v>5643.25</v>
      </c>
      <c r="C9" s="27">
        <v>0</v>
      </c>
      <c r="D9" s="27">
        <v>0</v>
      </c>
      <c r="E9" s="32">
        <v>5643.25</v>
      </c>
      <c r="F9" s="32">
        <v>4441.8999999999996</v>
      </c>
      <c r="G9" s="32">
        <v>1201.3499999999999</v>
      </c>
      <c r="H9" s="28" t="s">
        <v>141</v>
      </c>
      <c r="I9" s="31">
        <v>10</v>
      </c>
    </row>
    <row r="10" spans="1:9" outlineLevel="2" x14ac:dyDescent="0.25">
      <c r="A10" s="26" t="s">
        <v>146</v>
      </c>
      <c r="B10" s="27">
        <v>61183.17</v>
      </c>
      <c r="C10" s="27">
        <v>0</v>
      </c>
      <c r="D10" s="27">
        <v>0</v>
      </c>
      <c r="E10" s="32">
        <v>61183.17</v>
      </c>
      <c r="F10" s="32">
        <v>48157.56</v>
      </c>
      <c r="G10" s="32">
        <v>13025.61</v>
      </c>
      <c r="H10" s="28" t="s">
        <v>141</v>
      </c>
      <c r="I10" s="31">
        <v>10</v>
      </c>
    </row>
    <row r="11" spans="1:9" outlineLevel="2" x14ac:dyDescent="0.25">
      <c r="A11" s="26" t="s">
        <v>147</v>
      </c>
      <c r="B11" s="27">
        <v>1056.1400000000001</v>
      </c>
      <c r="C11" s="27">
        <v>0</v>
      </c>
      <c r="D11" s="27">
        <v>0</v>
      </c>
      <c r="E11" s="32">
        <v>1056.1400000000001</v>
      </c>
      <c r="F11" s="32">
        <v>730.25</v>
      </c>
      <c r="G11" s="32">
        <v>325.89</v>
      </c>
      <c r="H11" s="28" t="s">
        <v>148</v>
      </c>
      <c r="I11" s="31">
        <v>10</v>
      </c>
    </row>
    <row r="12" spans="1:9" outlineLevel="1" x14ac:dyDescent="0.25">
      <c r="A12" s="23" t="s">
        <v>127</v>
      </c>
      <c r="B12" s="24">
        <v>74612.25</v>
      </c>
      <c r="C12" s="24">
        <v>0</v>
      </c>
      <c r="D12" s="24">
        <v>-3159.36</v>
      </c>
      <c r="E12" s="24">
        <v>71452.89</v>
      </c>
      <c r="F12" s="24">
        <v>67195.48</v>
      </c>
      <c r="G12" s="24">
        <v>4257.41</v>
      </c>
      <c r="H12" s="25"/>
    </row>
    <row r="13" spans="1:9" outlineLevel="2" x14ac:dyDescent="0.25">
      <c r="A13" s="26" t="s">
        <v>149</v>
      </c>
      <c r="B13" s="27">
        <v>34655.21</v>
      </c>
      <c r="C13" s="27">
        <v>0</v>
      </c>
      <c r="D13" s="27">
        <v>-1705.5</v>
      </c>
      <c r="E13" s="27">
        <v>32949.71</v>
      </c>
      <c r="F13" s="27">
        <v>30985.91</v>
      </c>
      <c r="G13" s="27">
        <v>1963.8</v>
      </c>
      <c r="H13" s="28" t="s">
        <v>150</v>
      </c>
    </row>
    <row r="14" spans="1:9" outlineLevel="2" x14ac:dyDescent="0.25">
      <c r="A14" s="26" t="s">
        <v>151</v>
      </c>
      <c r="B14" s="27">
        <v>29541.59</v>
      </c>
      <c r="C14" s="27">
        <v>0</v>
      </c>
      <c r="D14" s="27">
        <v>-1453.86</v>
      </c>
      <c r="E14" s="27">
        <v>28087.73</v>
      </c>
      <c r="F14" s="27">
        <v>26413.68</v>
      </c>
      <c r="G14" s="27">
        <v>1674.05</v>
      </c>
      <c r="H14" s="28" t="s">
        <v>150</v>
      </c>
    </row>
    <row r="15" spans="1:9" outlineLevel="2" x14ac:dyDescent="0.25">
      <c r="A15" s="26" t="s">
        <v>152</v>
      </c>
      <c r="B15" s="27">
        <v>5955.84</v>
      </c>
      <c r="C15" s="27">
        <v>0</v>
      </c>
      <c r="D15" s="27">
        <v>0</v>
      </c>
      <c r="E15" s="27">
        <v>5955.84</v>
      </c>
      <c r="F15" s="27">
        <v>5736.87</v>
      </c>
      <c r="G15" s="27">
        <v>218.97</v>
      </c>
      <c r="H15" s="28" t="s">
        <v>153</v>
      </c>
    </row>
    <row r="16" spans="1:9" outlineLevel="2" x14ac:dyDescent="0.25">
      <c r="A16" s="26" t="s">
        <v>154</v>
      </c>
      <c r="B16" s="27">
        <v>1369.37</v>
      </c>
      <c r="C16" s="27">
        <v>0</v>
      </c>
      <c r="D16" s="27">
        <v>0</v>
      </c>
      <c r="E16" s="27">
        <v>1369.37</v>
      </c>
      <c r="F16" s="27">
        <v>1355.06</v>
      </c>
      <c r="G16" s="27">
        <v>14.31</v>
      </c>
      <c r="H16" s="28" t="s">
        <v>155</v>
      </c>
    </row>
    <row r="17" spans="1:8" outlineLevel="2" x14ac:dyDescent="0.25">
      <c r="A17" s="26" t="s">
        <v>156</v>
      </c>
      <c r="B17" s="27">
        <v>3090.24</v>
      </c>
      <c r="C17" s="27">
        <v>0</v>
      </c>
      <c r="D17" s="27">
        <v>0</v>
      </c>
      <c r="E17" s="27">
        <v>3090.24</v>
      </c>
      <c r="F17" s="27">
        <v>2703.96</v>
      </c>
      <c r="G17" s="27">
        <v>386.28</v>
      </c>
      <c r="H17" s="28" t="s">
        <v>157</v>
      </c>
    </row>
    <row r="18" spans="1:8" outlineLevel="1" x14ac:dyDescent="0.25">
      <c r="A18" s="23" t="s">
        <v>129</v>
      </c>
      <c r="B18" s="24">
        <v>17178.95</v>
      </c>
      <c r="C18" s="24">
        <v>0</v>
      </c>
      <c r="D18" s="24">
        <v>-8816.9500000000007</v>
      </c>
      <c r="E18" s="24">
        <v>8362</v>
      </c>
      <c r="F18" s="24">
        <v>14979.58</v>
      </c>
      <c r="G18" s="24">
        <v>-6617.58</v>
      </c>
      <c r="H18" s="25"/>
    </row>
    <row r="19" spans="1:8" outlineLevel="2" x14ac:dyDescent="0.25">
      <c r="A19" s="26" t="s">
        <v>130</v>
      </c>
      <c r="B19" s="27">
        <v>3432.84</v>
      </c>
      <c r="C19" s="27">
        <v>0</v>
      </c>
      <c r="D19" s="27">
        <v>0</v>
      </c>
      <c r="E19" s="27">
        <v>3432.84</v>
      </c>
      <c r="F19" s="27">
        <v>2215.2199999999998</v>
      </c>
      <c r="G19" s="27">
        <v>1217.6199999999999</v>
      </c>
      <c r="H19" s="28" t="s">
        <v>158</v>
      </c>
    </row>
    <row r="20" spans="1:8" outlineLevel="2" x14ac:dyDescent="0.25">
      <c r="A20" s="26" t="s">
        <v>159</v>
      </c>
      <c r="B20" s="27">
        <v>12903.45</v>
      </c>
      <c r="C20" s="27">
        <v>0</v>
      </c>
      <c r="D20" s="27">
        <v>-8816.9500000000007</v>
      </c>
      <c r="E20" s="27">
        <v>4086.5</v>
      </c>
      <c r="F20" s="27">
        <v>12019.29</v>
      </c>
      <c r="G20" s="27">
        <v>-7932.79</v>
      </c>
      <c r="H20" s="28" t="s">
        <v>160</v>
      </c>
    </row>
    <row r="21" spans="1:8" outlineLevel="2" x14ac:dyDescent="0.25">
      <c r="A21" s="26" t="s">
        <v>161</v>
      </c>
      <c r="B21" s="27">
        <v>842.66</v>
      </c>
      <c r="C21" s="27">
        <v>0</v>
      </c>
      <c r="D21" s="27">
        <v>0</v>
      </c>
      <c r="E21" s="27">
        <v>842.66</v>
      </c>
      <c r="F21" s="27">
        <v>745.07</v>
      </c>
      <c r="G21" s="27">
        <v>97.59</v>
      </c>
      <c r="H21" s="28" t="s">
        <v>162</v>
      </c>
    </row>
    <row r="22" spans="1:8" outlineLevel="1" x14ac:dyDescent="0.25">
      <c r="A22" s="23" t="s">
        <v>131</v>
      </c>
      <c r="B22" s="24">
        <v>1470.54</v>
      </c>
      <c r="C22" s="24">
        <v>0</v>
      </c>
      <c r="D22" s="24">
        <v>0</v>
      </c>
      <c r="E22" s="24">
        <v>1470.54</v>
      </c>
      <c r="F22" s="24">
        <v>234.4</v>
      </c>
      <c r="G22" s="24">
        <v>1236.1400000000001</v>
      </c>
      <c r="H22" s="25"/>
    </row>
    <row r="23" spans="1:8" outlineLevel="2" x14ac:dyDescent="0.25">
      <c r="A23" s="26" t="s">
        <v>132</v>
      </c>
      <c r="B23" s="27">
        <v>1470.54</v>
      </c>
      <c r="C23" s="27">
        <v>0</v>
      </c>
      <c r="D23" s="27">
        <v>0</v>
      </c>
      <c r="E23" s="27">
        <v>1470.54</v>
      </c>
      <c r="F23" s="27">
        <v>234.4</v>
      </c>
      <c r="G23" s="27">
        <v>1236.1400000000001</v>
      </c>
      <c r="H23" s="28" t="s">
        <v>128</v>
      </c>
    </row>
    <row r="24" spans="1:8" s="29" customFormat="1" x14ac:dyDescent="0.25"/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Прохорова Ирина Валерьевна</dc:creator>
  <cp:lastModifiedBy>Анатолий</cp:lastModifiedBy>
  <cp:lastPrinted>2016-03-15T07:58:03Z</cp:lastPrinted>
  <dcterms:created xsi:type="dcterms:W3CDTF">2015-05-26T09:18:43Z</dcterms:created>
  <dcterms:modified xsi:type="dcterms:W3CDTF">2020-04-13T13:32:05Z</dcterms:modified>
</cp:coreProperties>
</file>